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iremadze\Desktop\4. NCDC  GLOBAL  2021 წ\9 კვარტალური ანგარიშები\2  ანგარიშები  2021\2. შესყიდვები 2021 წ. I I კვ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Sheet1!$A$7:$O$81</definedName>
    <definedName name="_xlnm.Print_Area" localSheetId="0">Sheet1!$A$1:$M$81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L81" i="1"/>
  <c r="L80" i="1"/>
  <c r="L79" i="1"/>
  <c r="L73" i="1"/>
  <c r="L63" i="1"/>
  <c r="L54" i="1"/>
  <c r="L51" i="1"/>
  <c r="K81" i="1"/>
  <c r="K80" i="1"/>
  <c r="K79" i="1"/>
  <c r="K78" i="1"/>
  <c r="K76" i="1"/>
  <c r="K75" i="1"/>
  <c r="K74" i="1"/>
  <c r="K73" i="1"/>
  <c r="K69" i="1"/>
  <c r="K68" i="1"/>
  <c r="K67" i="1"/>
  <c r="K66" i="1"/>
  <c r="K64" i="1"/>
  <c r="K63" i="1"/>
  <c r="K58" i="1"/>
  <c r="K57" i="1"/>
  <c r="K56" i="1"/>
  <c r="K55" i="1"/>
  <c r="K54" i="1"/>
  <c r="K52" i="1"/>
  <c r="K51" i="1"/>
  <c r="L36" i="1" l="1"/>
  <c r="L39" i="1"/>
  <c r="L37" i="1"/>
  <c r="L35" i="1"/>
  <c r="L40" i="1"/>
  <c r="L31" i="1" l="1"/>
  <c r="L30" i="1"/>
  <c r="L27" i="1"/>
  <c r="L49" i="1"/>
  <c r="L48" i="1"/>
  <c r="L34" i="1"/>
  <c r="L32" i="1"/>
  <c r="L29" i="1"/>
  <c r="L26" i="1"/>
  <c r="L24" i="1"/>
  <c r="L15" i="1"/>
  <c r="L33" i="1"/>
  <c r="L8" i="1"/>
  <c r="K50" i="1" l="1"/>
  <c r="K47" i="1"/>
  <c r="K46" i="1"/>
  <c r="K45" i="1"/>
  <c r="K43" i="1"/>
  <c r="K42" i="1"/>
  <c r="K38" i="1" l="1"/>
  <c r="L38" i="1" s="1"/>
  <c r="K36" i="1"/>
  <c r="K28" i="1"/>
  <c r="K24" i="1"/>
  <c r="K22" i="1"/>
  <c r="K21" i="1"/>
  <c r="K20" i="1"/>
  <c r="K12" i="1" l="1"/>
</calcChain>
</file>

<file path=xl/sharedStrings.xml><?xml version="1.0" encoding="utf-8"?>
<sst xmlns="http://schemas.openxmlformats.org/spreadsheetml/2006/main" count="583" uniqueCount="286">
  <si>
    <t xml:space="preserve">დაფინანსების წყარო </t>
  </si>
  <si>
    <t>პროექტი
(გრანტოს ნომერი)</t>
  </si>
  <si>
    <t>დანაყოფის
cpv კოდი</t>
  </si>
  <si>
    <t>შესყიდვის ობიექტი</t>
  </si>
  <si>
    <t>შესყიდვის საშუალება</t>
  </si>
  <si>
    <t>შესყიდვის SPA&amp;CMR ნომერი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</si>
  <si>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</si>
  <si>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</si>
  <si>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</si>
  <si>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</si>
  <si>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</si>
  <si>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შენიშვნა</t>
  </si>
  <si>
    <t>გრანტი</t>
  </si>
  <si>
    <t>GEO-T-NCDC</t>
  </si>
  <si>
    <t>ელექტრონული ტენდერი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</si>
  <si>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</si>
  <si>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</si>
  <si>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გამარტივებული შესყიდვა</t>
  </si>
  <si>
    <t>GEO-T-H-NCDC</t>
  </si>
  <si>
    <t>კონსოლიდირებული ტენდერი</t>
  </si>
  <si>
    <t>სათარჯიმნო და სანოტარო მომსახურება</t>
  </si>
  <si>
    <t>მობილური ოპერატორის მომსახურება</t>
  </si>
  <si>
    <t>მიმდინარე ხელშეკრულება</t>
  </si>
  <si>
    <t>სასმელი წყალი</t>
  </si>
  <si>
    <t>შპს "ბორჯომი ვოთერსი"</t>
  </si>
  <si>
    <t>Cepheid HBDC SAS</t>
  </si>
  <si>
    <t>St. Bujet</t>
  </si>
  <si>
    <t>IDA Foundation</t>
  </si>
  <si>
    <t>შპს "ტოპ გრუპი"</t>
  </si>
  <si>
    <t>09100000</t>
  </si>
  <si>
    <t>აივ ინფექცია/შიდსით დაავადებულთა მკურნალობა და მოვლა</t>
  </si>
  <si>
    <t>19 GeneXpert-ს აპარატის 3 წლიანი საგარანტიო მომსახურება</t>
  </si>
  <si>
    <t>სადაზღვევო მომს. AUTO</t>
  </si>
  <si>
    <t>GF-T-H/CON/S-533</t>
  </si>
  <si>
    <t>შპს „თბილისის სატრანსპორტო კომპანია“</t>
  </si>
  <si>
    <t>პარკირების უფლება</t>
  </si>
  <si>
    <t>ბენზინი პრემუიმი RON95</t>
  </si>
  <si>
    <t>ევროდიზელი</t>
  </si>
  <si>
    <t>შპს “უნივერსალური ბიზნეს სერვისები“</t>
  </si>
  <si>
    <t>ჰოსტინგის მომსახურება</t>
  </si>
  <si>
    <t>GF-T/SSP/S-655</t>
  </si>
  <si>
    <t>GEO-H-NCDC/SR-1.7</t>
  </si>
  <si>
    <t>GF-H/SSP/S-733</t>
  </si>
  <si>
    <t>GEO-H/SSP/G-734</t>
  </si>
  <si>
    <t>GF-T/SSP/S-749</t>
  </si>
  <si>
    <t>„შედეგზე დაფუძნებული დაფინანსება და ინტეგრირებული მკურნალობის მოდელი ტუბერკულოზის მართვის ამბულატორიულ დონეზე“ პილოტური პროექტი</t>
  </si>
  <si>
    <t>ავტომობილის საგარანტიო ტექ. მომსახურება</t>
  </si>
  <si>
    <t>მედიკამენტები I &amp; II რიგი</t>
  </si>
  <si>
    <t>2 ც. / 16 მოდული GeneXpert-ს აპარატი</t>
  </si>
  <si>
    <t>სს "ფრანს ავტო"</t>
  </si>
  <si>
    <t>Stichting iplussolutions</t>
  </si>
  <si>
    <t>NL8150.47.824.B01</t>
  </si>
  <si>
    <t>24.04.2019 - 30.06.2022</t>
  </si>
  <si>
    <t>14.11.2019 - 31.07.2021</t>
  </si>
  <si>
    <t>18.11.2019 - 31.03.2021</t>
  </si>
  <si>
    <t>24.12.2019 - 31.12.2024</t>
  </si>
  <si>
    <t>შპს ,,მაგთიკომი"</t>
  </si>
  <si>
    <t>სახელმწიფო ბიუჯეტი</t>
  </si>
  <si>
    <t>შპს რომპეტროლ საქართველო</t>
  </si>
  <si>
    <t>GF-T/SSP/S-765</t>
  </si>
  <si>
    <t xml:space="preserve">ა(ა)იპ "საინფორმაციო სამედიცინო-ფსიქოლოგიური ცენტრი "თანადგომა“ </t>
  </si>
  <si>
    <t>ვიდეო მეთვალყურეობის თერაპიის (VOT) მობილური აპლიკაციის ტექნიკური მხარდაჭერა</t>
  </si>
  <si>
    <t>26.02.2020 - 31.01.2022</t>
  </si>
  <si>
    <t>შესრულებული ხელშეკრულება</t>
  </si>
  <si>
    <t>GF-T-H/ET/S-770</t>
  </si>
  <si>
    <t>შპს "პროქსიმა სისტემს"</t>
  </si>
  <si>
    <t>რესურსების მართვის ელექტრონული სისტემის (ERP) - Microsoft Dynamics AX 2012R3 - ტექნიკური მხარდაჭერa</t>
  </si>
  <si>
    <t>GF-T/ET/S-774</t>
  </si>
  <si>
    <t>ააიპ "საქართველოს ფთიზიატრთა და პულმონოლოგთა ასოციაცია"</t>
  </si>
  <si>
    <t>GF-T/SSP/S-780</t>
  </si>
  <si>
    <t>შპს სერვ.ჯი</t>
  </si>
  <si>
    <t>15.04.2020 - 30.05.2021</t>
  </si>
  <si>
    <t>ტუბერკულოზის მართვის ხარისხის გაუმჯობესება განახლებული გაიდლაინების დანერგვა;</t>
  </si>
  <si>
    <t>ანტირეტროვირუსული მედიკამენტები I &amp; II რიგი</t>
  </si>
  <si>
    <t>დომეინის მომსახურება</t>
  </si>
  <si>
    <t>მედიკამენტები STI - ნალოქსონი</t>
  </si>
  <si>
    <t xml:space="preserve"> ა(ა)იპ „თანასწორობის მოძრაობა“</t>
  </si>
  <si>
    <t>ა(ა)იპ „ზიანის შემცირების საქართველოს ქსელი“</t>
  </si>
  <si>
    <t>კორონავირუსის (COVID-19) ინფექციაზე საეჭვო შემთხვევების პირველად ჯანდაცვაში მართვის ხელშეწყობის მომსახურება</t>
  </si>
  <si>
    <t>ტუბსაწინააღმდეგო მედიკამენტები I &amp; II რიგი</t>
  </si>
  <si>
    <t>GF-H/ET/S-803</t>
  </si>
  <si>
    <t>GOV-T/SSP/G-803</t>
  </si>
  <si>
    <t>St. Bujet T</t>
  </si>
  <si>
    <t>25.08.2020 - 31.05.2021</t>
  </si>
  <si>
    <t>16.09.2020 - 31.03.2022</t>
  </si>
  <si>
    <t>01.07.2019 - 30.04.2021</t>
  </si>
  <si>
    <t>27.03.2020 - 31.08.2021</t>
  </si>
  <si>
    <t>01.04.2020 - 31.08.2021</t>
  </si>
  <si>
    <t>GF-H/ET/S-812</t>
  </si>
  <si>
    <t>GEO-H/SSP/G-820</t>
  </si>
  <si>
    <t>GF-T/SSP/S-822</t>
  </si>
  <si>
    <t>GF-H/ET/S-821</t>
  </si>
  <si>
    <t>GF-H/SSP/S-824</t>
  </si>
  <si>
    <t>GF-H/ET/S-825</t>
  </si>
  <si>
    <t>შპს " საოჯახო მედიცინის ეროვნული სასწავლო ცენტრი"</t>
  </si>
  <si>
    <t>GEO-H-NCDC/SP-5.2</t>
  </si>
  <si>
    <t>ა(ა)იპ „შიდსით დაავადებულთა დახმარების ფონდი“</t>
  </si>
  <si>
    <t>GF-T/ET/G-826</t>
  </si>
  <si>
    <t>შპს "პროფიმპექსი"</t>
  </si>
  <si>
    <t>GEO-T-NCDC/SR-6.2</t>
  </si>
  <si>
    <t>სს „ტუბერკულოზისა და ფილტვის დაავადებათა ეროვნული ცენტრი“</t>
  </si>
  <si>
    <t>GEO-H-NCDC/SP-4.3</t>
  </si>
  <si>
    <t>GEO-H-NCDC/SP–1.5</t>
  </si>
  <si>
    <t>GEO-H-NCDC/SP-3.4</t>
  </si>
  <si>
    <t>GF-T-H/SSP/S-829</t>
  </si>
  <si>
    <t>GF-T-H/ET/S-830</t>
  </si>
  <si>
    <t>შპს "საქართველოს ფოსტა"</t>
  </si>
  <si>
    <t>GF-T-H/SSP/G-831</t>
  </si>
  <si>
    <t>GF-T-H/CON/G-833</t>
  </si>
  <si>
    <t>GF-T-H/CON/G-834</t>
  </si>
  <si>
    <t>GF-T-H/CON/S-835</t>
  </si>
  <si>
    <t>სს "ნიუ ვიჟენ დაზღვევა"</t>
  </si>
  <si>
    <t>20.10.2020 - 31.12.2021</t>
  </si>
  <si>
    <t>22.10.2020 - 31.01.2021</t>
  </si>
  <si>
    <t>20.11.2020 - 31.03.2022</t>
  </si>
  <si>
    <t>10.12.2020 - 01.02.2024</t>
  </si>
  <si>
    <t>09.11.2020 - 31.08.2021</t>
  </si>
  <si>
    <t>19.11.2020 - 31.08.2021</t>
  </si>
  <si>
    <t>24.11.2020 - 31.08.2021</t>
  </si>
  <si>
    <t>16.12.2020 - 30.05.2021</t>
  </si>
  <si>
    <t>23.12.2020 - 04.03.2022</t>
  </si>
  <si>
    <t>აივ ინფექცია/შიდსის საკვანძო პოპულაციებისათვის, აივ ინფექცია/შიდსით და ტუბერკულოზით დაავადებული პირებისთვის სამედიცინო, პრევენციული და სოციალური სერვისების მიწოდების მდგრადობის უზრუნველყოფა COVID-19 პანდემიის პირობებში</t>
  </si>
  <si>
    <t>GeneXpert-ს აპარატი 3 წლიანი საგარანტიო მომსახურება</t>
  </si>
  <si>
    <t>აივ ინფიცირებული პაციენტებისათვის. აივ ინფექცია/შიდსის საწინააღმდეგო პირველი და მეორე რიგის ანტირეტროვირუსული (არვ) მედიკამენტების დისტრიბუციის ალტერნატიული მოდელის შემუშავებისა და აღნიშნული მოდელით მედიკამენტების მიწოდების უზრუნველყოფა კოვიდ-19 ეპიდემიის პირობებში</t>
  </si>
  <si>
    <t>აივ ინფექცია/შიდსის საკვანძო პოპულაციებისათვის,აივ ინფექცია/შიდსით და ტუბერკულოზით დაავადებული პირებისთვის სამედიცინო და ფსიქოლოგიური დახმარების სერვისებზეხელმისაწვდომობის უზრუნველყოფა COVID-19 პანდემიის პირობებში პირველადი ჯანდაცვის მომსახურების, ტელეკლინიკის მოდელისგამოყენებით სამედიცინო მომსახურების შესყიდვა</t>
  </si>
  <si>
    <t>აივ ინფექცია/შიდსით დაავადებულთა მკურნალობაზე დამყოლობის მხარდაჭერა და ფსიქო-სოციალური დახმარების მომსახურები</t>
  </si>
  <si>
    <t>ვერტიკალური ნაკადის ლამინარული ბოქსი (ამწოვი კარადა)</t>
  </si>
  <si>
    <t>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უზრუნველყოფა“ პროგრამის ფარგლებში სამედიცინო მომსახურება</t>
  </si>
  <si>
    <t xml:space="preserve"> "აივ ინფექციის პრე-ექსპოზიციური პროფილაქტიკური მკურნალობა მსმ-ში, ტრანსგენდერ პირებსა და მათ პარტნიორებში და კსმ პირებში" </t>
  </si>
  <si>
    <t>ნარკოტიკების ინექციური მომხმარებლებისთვის და მათი სქესობრივი პარტნიორებისთვის აივ პრევენციული სერვისების მიწოდების მომსახურება</t>
  </si>
  <si>
    <t>„აივ ინფექცია/შიდსის პრევენცია და შემთხვევების გამოვლენა ლგბტ თემში“</t>
  </si>
  <si>
    <t>გადაზიდვის მომსახურება</t>
  </si>
  <si>
    <r>
      <t xml:space="preserve">GEO-H-NCDC </t>
    </r>
    <r>
      <rPr>
        <sz val="6"/>
        <color theme="1"/>
        <rFont val="Calibri"/>
        <family val="2"/>
        <scheme val="minor"/>
      </rPr>
      <t>Cov</t>
    </r>
  </si>
  <si>
    <t>St. Bujet H</t>
  </si>
  <si>
    <t>აივ ინფექცია/შიდსის საკვანძო პოპულაციებისთვის აივ-ზე თვითტესტირების მომსახურების და აივ-პრევენციული პაკეტების ხელმისაწვდომობის უზრუნველყოფა COVID-19 პანდემიის პირობებში მომსახურება</t>
  </si>
  <si>
    <t>საინფორმაციო სამედიცინო-ფსიქოლოგიური ცენტრი - თანადგომა</t>
  </si>
  <si>
    <t>GEO-H-NCDC/SP-2.4</t>
  </si>
  <si>
    <t>22.12.2020 - 04.03.2022</t>
  </si>
  <si>
    <t>მაღალი რისკის ქცევის მქონე ჯგუფებში (კომერციული სექს-მუშაკი ქალები, მამაკაცები რომელთაც სექსი აქვთ მამაკაცებთან) პროექტის ფარგლებში სამედიცინო მომსახურების შესყიდვა</t>
  </si>
  <si>
    <t>02.03.2018 - 01.08.2021</t>
  </si>
  <si>
    <t>50100000; 09200000; 34300000</t>
  </si>
  <si>
    <t>GF-T-H/SSP/S-811</t>
  </si>
  <si>
    <t>03.12.2020 - 31.03.2022</t>
  </si>
  <si>
    <t>21.12.2020 - 31.03.2022</t>
  </si>
  <si>
    <t>22.12.2020 - 31.03.2022</t>
  </si>
  <si>
    <t>24.12.2020 - 31.08.2021</t>
  </si>
  <si>
    <t>25.12.2020 - 31.03.2022</t>
  </si>
  <si>
    <t>29.12.2020 - 31.01.2022</t>
  </si>
  <si>
    <t>31.12.2020 - 30.04.2022</t>
  </si>
  <si>
    <t>GEO-H-T-NCDC/SP-7.1</t>
  </si>
  <si>
    <t>GF-T/SSP/S-836</t>
  </si>
  <si>
    <t>GF-T-H/SSP/S-837</t>
  </si>
  <si>
    <t>GF-T/ET/S-838</t>
  </si>
  <si>
    <t>GF-T-H/SSP/S-840</t>
  </si>
  <si>
    <t>GF-H/ET/G-841</t>
  </si>
  <si>
    <t>GF-H/ET/G-842</t>
  </si>
  <si>
    <t>GF-T-H/SSP/S-843</t>
  </si>
  <si>
    <t>GF-T/SET/S-844</t>
  </si>
  <si>
    <t>GEO-H-NCDC/SR-1.8</t>
  </si>
  <si>
    <t>GF-T/ET/G-845</t>
  </si>
  <si>
    <t>სსიპ "ზ.დანელიას სახელობის კავშირი თანადგომა"</t>
  </si>
  <si>
    <t>სსიპ „ჯანმრთელობის ეროვნული სააგენტო“</t>
  </si>
  <si>
    <t>შპს ლ.მ.ვ.</t>
  </si>
  <si>
    <t>ააიპ "ჯანმრთელობის კვლევის კავშირი"</t>
  </si>
  <si>
    <t>შპს „ვის"</t>
  </si>
  <si>
    <t>შპს "ერ თი ემ"</t>
  </si>
  <si>
    <t>შპს "ოლსაიდს"</t>
  </si>
  <si>
    <t>405132075</t>
  </si>
  <si>
    <t>13.01.2021 - 31.03.2022</t>
  </si>
  <si>
    <t>22.01.2021 - 01.03.2022</t>
  </si>
  <si>
    <t>03.01.2021 - 31.03.2022</t>
  </si>
  <si>
    <t>01.02.2021 - 01.03.2022</t>
  </si>
  <si>
    <t>15.02.2021 - 31.08.2021</t>
  </si>
  <si>
    <t>15.02.2021 - 30.06.2021</t>
  </si>
  <si>
    <t>22.02.2021 - 31.12.2022</t>
  </si>
  <si>
    <t>30.03.2021 - 30.07.2021</t>
  </si>
  <si>
    <t>აფხაზეთის ოკუპირებულ ტერიტორიაზე მცხოვრები მოსახლეობის, ტუბერკულოზის სამკურნალო, აივ ინფექციის/შიდსის ანტირეტროვირუსული მედიკამენტებით და სამედიცინო-პრევენციული სერვისების უზრუნველყოფა</t>
  </si>
  <si>
    <t>ავტომობილების რეცხვის მომსახურება</t>
  </si>
  <si>
    <t>საინფორმაციო/საგანმანათლებლო კამპანია</t>
  </si>
  <si>
    <t>ავტომობილის ტექნიკური დათვალიერება</t>
  </si>
  <si>
    <t>ცივი ყუთი</t>
  </si>
  <si>
    <t xml:space="preserve">მობილური აპლიკაციის შექმნა/დანერგვა </t>
  </si>
  <si>
    <t>სუფთა ნივთიერებები &amp; სპირტი 100%</t>
  </si>
  <si>
    <t>2021 წ.                                                  I I კვარტალში  გადარიცხული თანხები</t>
  </si>
  <si>
    <t>შპს  ,,ემ ელ სი მედიკალი"</t>
  </si>
  <si>
    <t>GF-T-H/CON/G-846</t>
  </si>
  <si>
    <t>GF-T-H/ET/G-847</t>
  </si>
  <si>
    <t>GOV-T/SSP/G-848</t>
  </si>
  <si>
    <t>GF-T/SSP/G-849</t>
  </si>
  <si>
    <t>GF-T/ET/G-850</t>
  </si>
  <si>
    <t>GF-T-H/ET/G-851</t>
  </si>
  <si>
    <t>GF- T/SSP/S-852</t>
  </si>
  <si>
    <t>GF-T/SSP/G-853</t>
  </si>
  <si>
    <t>GF-T-H/ET/S-854</t>
  </si>
  <si>
    <t>GF-H/CON/G-855</t>
  </si>
  <si>
    <t>GF-T-H/ET/S-856</t>
  </si>
  <si>
    <t>GF-T/ET/G-857</t>
  </si>
  <si>
    <t>GF-H/CON/G-858</t>
  </si>
  <si>
    <t>GF-T-H/SSP/S-859</t>
  </si>
  <si>
    <t>GF-T-H/SSP/S-860</t>
  </si>
  <si>
    <t>GF-H/CON/G-861</t>
  </si>
  <si>
    <t>GF-T-H/ET/S-862</t>
  </si>
  <si>
    <t>GF- H/SSP/S-863</t>
  </si>
  <si>
    <t>GF-H/ET/G-864</t>
  </si>
  <si>
    <t>GF-H/ET/G-865</t>
  </si>
  <si>
    <t>GF-T/ET/G-866</t>
  </si>
  <si>
    <t>GF-H/CON/G-867</t>
  </si>
  <si>
    <t>GF-T/SSP/S-868</t>
  </si>
  <si>
    <t>GF-H/CON/G-869</t>
  </si>
  <si>
    <t>GF-H/CON/G-870</t>
  </si>
  <si>
    <t>GF-H/CON/G-871</t>
  </si>
  <si>
    <t>GF-H/CON/G-872</t>
  </si>
  <si>
    <t>01.04.2021 - 15.06.2024</t>
  </si>
  <si>
    <t>13.04.2021 - 30.06.2021</t>
  </si>
  <si>
    <t>16.04.2021 - 31.03.2023</t>
  </si>
  <si>
    <t>16.04.2021 - 30.06.2022</t>
  </si>
  <si>
    <t>19.04.2021 - 30.11.2021</t>
  </si>
  <si>
    <t>19.04.2021 - 30.07.2021</t>
  </si>
  <si>
    <t>27.04.2021 - 31.05.2021</t>
  </si>
  <si>
    <t>28.04.2021 - 30.12.2021</t>
  </si>
  <si>
    <t>28.04.2021 - 30.07.2021</t>
  </si>
  <si>
    <t>28.04.2021 - 31.01.2022</t>
  </si>
  <si>
    <t>11.05.2021 - 31.08.2023</t>
  </si>
  <si>
    <t>13.05.2021 - 10.08.2021</t>
  </si>
  <si>
    <t>13.05.2021 - 30.07.2021</t>
  </si>
  <si>
    <t>13.05.2020 - 31.01.2022</t>
  </si>
  <si>
    <t>13.05.2021 - 31.01.2022</t>
  </si>
  <si>
    <t>25.05.2021 - 31.12.2021</t>
  </si>
  <si>
    <t>25.04.2021 - 28.02.2022</t>
  </si>
  <si>
    <t>08.06.2021 - 15.08.2021</t>
  </si>
  <si>
    <t>10.06.2021 - 31.08.2021</t>
  </si>
  <si>
    <t>10.06.2021 - 10.09.2021</t>
  </si>
  <si>
    <t>10.06.2021 - 31.12.2021</t>
  </si>
  <si>
    <t>15.06.2021 - 31.01.2022</t>
  </si>
  <si>
    <t>15.06.2021 - 29.07.2021</t>
  </si>
  <si>
    <t>21.06.2021 - 31.08.2021</t>
  </si>
  <si>
    <t>23.06.2021 - 31.08.2021</t>
  </si>
  <si>
    <t>შპს "თეგეტა მოტორსი"</t>
  </si>
  <si>
    <t>შპს "ლუანა"</t>
  </si>
  <si>
    <t xml:space="preserve"> შპს "პრიმაქს-ჯორჯია"</t>
  </si>
  <si>
    <t>შპს „აჭარა ჯგუფი“</t>
  </si>
  <si>
    <t>შპს "ქარავან ტრანს ექსპრესს"</t>
  </si>
  <si>
    <t>შპს "გეფა"</t>
  </si>
  <si>
    <t>შპს "ფრაისუოთერჰაუსკუპერს საქართველო"</t>
  </si>
  <si>
    <t>შპს "ჰუმან დიაგონსოტიკ ჯორჯია"</t>
  </si>
  <si>
    <t>შპს "პსპ ფარმა"</t>
  </si>
  <si>
    <t>შპს ექსპრეს სერვისი</t>
  </si>
  <si>
    <t>Jobs.ge</t>
  </si>
  <si>
    <t xml:space="preserve"> ააიპ "საქართველოს ფთიზიატრთა და პულმონოლოგთა ასოციაცია" </t>
  </si>
  <si>
    <t>შპს „რას ალ ხაიამ ინვესტმენტ აუტორიტი ჯორჯია“</t>
  </si>
  <si>
    <t>შპს "დოქტორ გუდსი"</t>
  </si>
  <si>
    <t>შპს "გოლდმედი"</t>
  </si>
  <si>
    <t>შპს "მედიქალ ბიოს ჯორჯია"</t>
  </si>
  <si>
    <t>შპს "მეღვინეობა გრანელი"</t>
  </si>
  <si>
    <t>შპს "სითი 12"</t>
  </si>
  <si>
    <r>
      <t xml:space="preserve">GEO-T-H-NCDC </t>
    </r>
    <r>
      <rPr>
        <sz val="6"/>
        <color theme="1"/>
        <rFont val="Calibri"/>
        <family val="2"/>
        <scheme val="minor"/>
      </rPr>
      <t>Cov</t>
    </r>
  </si>
  <si>
    <t>საავტომობილო ზეთი</t>
  </si>
  <si>
    <t>ზეთის ფილტრი</t>
  </si>
  <si>
    <t>ტუბერკულოზით და შიდსით დააავდებული პაციენტებისთვის კვების პროდუქტების შესყიდვა</t>
  </si>
  <si>
    <t xml:space="preserve">XPRESS, SARS-COV-2  კატრიჯი </t>
  </si>
  <si>
    <t>ლაბ. სახარჯი მასალა. ავტოკლავის ლენტი / პეტრის ფინჯანი</t>
  </si>
  <si>
    <t>ნარჩენების კონტეინერი &amp; ბიოუსაფრთხოების/ავტოკლავის პარკები</t>
  </si>
  <si>
    <t>სამუშაო შეხვედრა TB კონტაქტების მიდევნების და ლატენტური ტუბერკულოზური ინფექციის მკურნალობის აღრიცხვის ელექტრონული პლატფორმის განხილვის მონაწილეთა კვება</t>
  </si>
  <si>
    <t>GeneXpert-ს XDR კატრიჯები, მოდული, კომპ.</t>
  </si>
  <si>
    <t xml:space="preserve"> ,,სხვადასხვა საკვები პროდუქტების ნაკრების (ასორტის)“ უშუალოდ ბენეფიციარის საცხოვრებელ ადგილზე მიწოდების მომსახურებ</t>
  </si>
  <si>
    <t>საინექციო წყალი</t>
  </si>
  <si>
    <t>აუდიტორული მომსახურება / 2019-2021 წლების კონსოლიდირებული აუდიტი</t>
  </si>
  <si>
    <t xml:space="preserve">ჰემატოანალიზატორის "Humacount D5"-ს რეაქტივები </t>
  </si>
  <si>
    <t>სამედიცინო ნიღაბი/პირბადე, სამშრიანი</t>
  </si>
  <si>
    <t>ავტო-ტექ. მომსახურება (საბურავების შეცვლა)</t>
  </si>
  <si>
    <t>განცხადების გამოქვეყნების ხარჯი</t>
  </si>
  <si>
    <t>საბურავების შესყიდვა</t>
  </si>
  <si>
    <t>ტუბერკულოზის, აივ და C ჰეპატიტის ინტეგრირებული სკრინინგისა და კონტაქტების კვლევის პილოტური პროექტის განხორციელება რენტგენოდიაგნოსტიკური სრული სისტემითა და GeneXpert-ის აპარატით აღჭურვილი ავტომობილის საშუალებით</t>
  </si>
  <si>
    <t>Covid -19 ეპიდზედამხედველობის ტრეინინგი</t>
  </si>
  <si>
    <t>სამედიცინო ტანსაცმელი. კომბინიზონი</t>
  </si>
  <si>
    <t>სამედიცინო სახარჯი მასალა. ლახტი</t>
  </si>
  <si>
    <t>ტესტ სისტემა / ფლუიდ პაკი</t>
  </si>
  <si>
    <t xml:space="preserve">სამედიცინო სახარჯი მასალა. შპროცი / syringe 20მლ. </t>
  </si>
  <si>
    <t>სამედიცინო სახარჯი მასალა. შპროცი ინსულინის 1მლ. Insulin syringe, პეპლები, ნემსები</t>
  </si>
  <si>
    <t>სამედიცინო ტანსაცმელი. ბახილები</t>
  </si>
  <si>
    <t>ხელის სადეზინფექციო საშუალება</t>
  </si>
  <si>
    <t>0243260342</t>
  </si>
  <si>
    <t>22.02.2021 - 03.03.2022</t>
  </si>
  <si>
    <t xml:space="preserve">26.01.2021-31.03.2022 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</si>
  <si>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                                                                                                    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                                                                                                                                                                                                                                             და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№GEO-T-NCDC)                                                                                                                                                                    პროგრამების ფარგლებში, 2021 წლის  I I  კვარტლის განმავლობაში განხორციელებული შესყიდვების შესახებ</t>
  </si>
  <si>
    <t>51205799300010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</si>
</sst>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\ &quot;Lari&quot;;\-#,##0.00\ &quot;Lari&quot;"/>
    <numFmt numFmtId="166" formatCode="_-* #,##0.00\ _L_a_r_i_-;\-* #,##0.00\ _L_a_r_i_-;_-* &quot;-&quot;??\ _L_a_r_i_-;_-@_-"/>
    <numFmt numFmtId="167" formatCode="[$$-C09]#,##0.0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3" fillId="0" borderId="0"/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6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167" fontId="8" fillId="2" borderId="1" xfId="1" applyNumberFormat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0" fontId="6" fillId="2" borderId="9" xfId="2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>
      <alignment horizontal="right" vertical="center"/>
    </xf>
    <xf numFmtId="165" fontId="6" fillId="2" borderId="10" xfId="1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view="pageBreakPreview" topLeftCell="A47" zoomScaleNormal="100" zoomScaleSheetLayoutView="100" workbookViewId="0">
      <selection activeCell="I59" sqref="I59:I61"/>
    </sheetView>
  </sheetViews>
  <sheetFormatPr defaultColWidth="9" defaultRowHeight="15" x14ac:dyDescent="0.25"/>
  <cols>
    <col min="1" max="1" width="11" style="1" customWidth="1"/>
    <col min="2" max="2" width="10.5703125" style="1" customWidth="1"/>
    <col min="3" max="3" width="10" style="1" customWidth="1"/>
    <col min="4" max="4" width="44.140625" style="5" customWidth="1"/>
    <col min="5" max="5" width="12.42578125" style="1" customWidth="1"/>
    <col min="6" max="6" width="10" style="1" customWidth="1"/>
    <col min="7" max="7" width="14.140625" style="1" customWidth="1"/>
    <col min="8" max="8" width="20.28515625" style="1" customWidth="1"/>
    <col min="9" max="9" width="14" style="1" customWidth="1"/>
    <col min="10" max="10" width="12.140625" style="3" customWidth="1"/>
    <col min="11" max="11" width="13.28515625" style="3" customWidth="1"/>
    <col min="12" max="12" width="13.42578125" style="3" customWidth="1"/>
    <col min="13" max="13" width="12.140625" style="1" customWidth="1"/>
    <col min="14" max="14" width="9" style="1"/>
    <col min="15" max="15" width="12" style="1" bestFit="1" customWidth="1"/>
    <col min="16" max="16384" width="9" style="1"/>
  </cols>
  <sheetData>
    <row r="1" spans="1:13" s="2" customFormat="1" ht="12.75" customHeight="1" x14ac:dyDescent="0.2">
      <c r="A1" s="55" t="s">
        <v>284</v>
      </c>
      <c r="B1" s="55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12.75" x14ac:dyDescent="0.2">
      <c r="A2" s="55"/>
      <c r="B2" s="55"/>
      <c r="C2" s="55"/>
      <c r="D2" s="56"/>
      <c r="E2" s="55"/>
      <c r="F2" s="55"/>
      <c r="G2" s="55"/>
      <c r="H2" s="55"/>
      <c r="I2" s="55"/>
      <c r="J2" s="55"/>
      <c r="K2" s="55"/>
      <c r="L2" s="55"/>
      <c r="M2" s="55"/>
    </row>
    <row r="3" spans="1:13" s="2" customFormat="1" ht="12.75" x14ac:dyDescent="0.2">
      <c r="A3" s="55"/>
      <c r="B3" s="55"/>
      <c r="C3" s="55"/>
      <c r="D3" s="56"/>
      <c r="E3" s="55"/>
      <c r="F3" s="55"/>
      <c r="G3" s="55"/>
      <c r="H3" s="55"/>
      <c r="I3" s="55"/>
      <c r="J3" s="55"/>
      <c r="K3" s="55"/>
      <c r="L3" s="55"/>
      <c r="M3" s="55"/>
    </row>
    <row r="4" spans="1:13" s="2" customFormat="1" ht="12.75" x14ac:dyDescent="0.2">
      <c r="A4" s="55"/>
      <c r="B4" s="55"/>
      <c r="C4" s="55"/>
      <c r="D4" s="56"/>
      <c r="E4" s="55"/>
      <c r="F4" s="55"/>
      <c r="G4" s="55"/>
      <c r="H4" s="55"/>
      <c r="I4" s="55"/>
      <c r="J4" s="55"/>
      <c r="K4" s="55"/>
      <c r="L4" s="55"/>
      <c r="M4" s="55"/>
    </row>
    <row r="5" spans="1:13" s="2" customFormat="1" ht="12.75" x14ac:dyDescent="0.2">
      <c r="A5" s="55"/>
      <c r="B5" s="55"/>
      <c r="C5" s="55"/>
      <c r="D5" s="56"/>
      <c r="E5" s="55"/>
      <c r="F5" s="55"/>
      <c r="G5" s="55"/>
      <c r="H5" s="55"/>
      <c r="I5" s="55"/>
      <c r="J5" s="55"/>
      <c r="K5" s="55"/>
      <c r="L5" s="55"/>
      <c r="M5" s="55"/>
    </row>
    <row r="6" spans="1:13" s="2" customFormat="1" ht="13.5" thickBot="1" x14ac:dyDescent="0.25">
      <c r="A6" s="55"/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5"/>
    </row>
    <row r="7" spans="1:13" s="4" customFormat="1" ht="55.5" customHeight="1" thickBot="1" x14ac:dyDescent="0.3">
      <c r="A7" s="30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183</v>
      </c>
      <c r="M7" s="32" t="s">
        <v>11</v>
      </c>
    </row>
    <row r="8" spans="1:13" ht="24" customHeight="1" x14ac:dyDescent="0.25">
      <c r="A8" s="34" t="s">
        <v>12</v>
      </c>
      <c r="B8" s="35" t="s">
        <v>18</v>
      </c>
      <c r="C8" s="35">
        <v>64200000</v>
      </c>
      <c r="D8" s="36" t="s">
        <v>21</v>
      </c>
      <c r="E8" s="45" t="s">
        <v>19</v>
      </c>
      <c r="F8" s="35">
        <v>180064117</v>
      </c>
      <c r="G8" s="35" t="s">
        <v>33</v>
      </c>
      <c r="H8" s="37" t="s">
        <v>56</v>
      </c>
      <c r="I8" s="38">
        <v>204876606</v>
      </c>
      <c r="J8" s="35" t="s">
        <v>139</v>
      </c>
      <c r="K8" s="39">
        <v>17000</v>
      </c>
      <c r="L8" s="40">
        <f>372.23+331.56+367.46</f>
        <v>1071.25</v>
      </c>
      <c r="M8" s="41" t="s">
        <v>22</v>
      </c>
    </row>
    <row r="9" spans="1:13" ht="27.75" customHeight="1" x14ac:dyDescent="0.25">
      <c r="A9" s="15" t="s">
        <v>12</v>
      </c>
      <c r="B9" s="7" t="s">
        <v>13</v>
      </c>
      <c r="C9" s="7">
        <v>50400000</v>
      </c>
      <c r="D9" s="8" t="s">
        <v>31</v>
      </c>
      <c r="E9" s="9" t="s">
        <v>17</v>
      </c>
      <c r="F9" s="7">
        <v>190087245</v>
      </c>
      <c r="G9" s="7" t="s">
        <v>40</v>
      </c>
      <c r="H9" s="10" t="s">
        <v>25</v>
      </c>
      <c r="I9" s="12">
        <v>51205799300010</v>
      </c>
      <c r="J9" s="7" t="s">
        <v>52</v>
      </c>
      <c r="K9" s="29">
        <v>117522</v>
      </c>
      <c r="L9" s="28">
        <v>0</v>
      </c>
      <c r="M9" s="16" t="s">
        <v>22</v>
      </c>
    </row>
    <row r="10" spans="1:13" ht="37.5" customHeight="1" x14ac:dyDescent="0.25">
      <c r="A10" s="15" t="s">
        <v>12</v>
      </c>
      <c r="B10" s="7" t="s">
        <v>15</v>
      </c>
      <c r="C10" s="7">
        <v>85100000</v>
      </c>
      <c r="D10" s="8" t="s">
        <v>30</v>
      </c>
      <c r="E10" s="9" t="s">
        <v>14</v>
      </c>
      <c r="F10" s="7">
        <v>190011257</v>
      </c>
      <c r="G10" s="7" t="s">
        <v>41</v>
      </c>
      <c r="H10" s="10" t="s">
        <v>16</v>
      </c>
      <c r="I10" s="12">
        <v>212153756</v>
      </c>
      <c r="J10" s="7" t="s">
        <v>85</v>
      </c>
      <c r="K10" s="11">
        <v>1318730</v>
      </c>
      <c r="L10" s="28">
        <v>23638.83</v>
      </c>
      <c r="M10" s="16" t="s">
        <v>63</v>
      </c>
    </row>
    <row r="11" spans="1:13" ht="32.25" customHeight="1" x14ac:dyDescent="0.25">
      <c r="A11" s="15" t="s">
        <v>12</v>
      </c>
      <c r="B11" s="7" t="s">
        <v>15</v>
      </c>
      <c r="C11" s="14" t="s">
        <v>140</v>
      </c>
      <c r="D11" s="8" t="s">
        <v>46</v>
      </c>
      <c r="E11" s="9" t="s">
        <v>17</v>
      </c>
      <c r="F11" s="7">
        <v>190173465</v>
      </c>
      <c r="G11" s="7" t="s">
        <v>42</v>
      </c>
      <c r="H11" s="10" t="s">
        <v>49</v>
      </c>
      <c r="I11" s="12">
        <v>236098165</v>
      </c>
      <c r="J11" s="7" t="s">
        <v>53</v>
      </c>
      <c r="K11" s="11">
        <v>3800</v>
      </c>
      <c r="L11" s="28">
        <v>0</v>
      </c>
      <c r="M11" s="16" t="s">
        <v>22</v>
      </c>
    </row>
    <row r="12" spans="1:13" ht="31.5" customHeight="1" x14ac:dyDescent="0.25">
      <c r="A12" s="17" t="s">
        <v>57</v>
      </c>
      <c r="B12" s="7" t="s">
        <v>26</v>
      </c>
      <c r="C12" s="7">
        <v>33600000</v>
      </c>
      <c r="D12" s="8" t="s">
        <v>47</v>
      </c>
      <c r="E12" s="9" t="s">
        <v>17</v>
      </c>
      <c r="F12" s="7">
        <v>190174683</v>
      </c>
      <c r="G12" s="7" t="s">
        <v>43</v>
      </c>
      <c r="H12" s="10" t="s">
        <v>50</v>
      </c>
      <c r="I12" s="12" t="s">
        <v>51</v>
      </c>
      <c r="J12" s="44" t="s">
        <v>54</v>
      </c>
      <c r="K12" s="29">
        <f>378754.86+281322.35</f>
        <v>660077.21</v>
      </c>
      <c r="L12" s="28">
        <v>0</v>
      </c>
      <c r="M12" s="47" t="s">
        <v>63</v>
      </c>
    </row>
    <row r="13" spans="1:13" ht="26.25" customHeight="1" x14ac:dyDescent="0.25">
      <c r="A13" s="15" t="s">
        <v>12</v>
      </c>
      <c r="B13" s="7" t="s">
        <v>13</v>
      </c>
      <c r="C13" s="7">
        <v>50100000</v>
      </c>
      <c r="D13" s="8" t="s">
        <v>48</v>
      </c>
      <c r="E13" s="9" t="s">
        <v>17</v>
      </c>
      <c r="F13" s="7">
        <v>190200358</v>
      </c>
      <c r="G13" s="7" t="s">
        <v>44</v>
      </c>
      <c r="H13" s="10" t="s">
        <v>25</v>
      </c>
      <c r="I13" s="12">
        <v>51205799300010</v>
      </c>
      <c r="J13" s="7" t="s">
        <v>55</v>
      </c>
      <c r="K13" s="29">
        <v>37008</v>
      </c>
      <c r="L13" s="28">
        <v>0</v>
      </c>
      <c r="M13" s="16" t="s">
        <v>22</v>
      </c>
    </row>
    <row r="14" spans="1:13" ht="30.75" customHeight="1" x14ac:dyDescent="0.25">
      <c r="A14" s="15" t="s">
        <v>12</v>
      </c>
      <c r="B14" s="6" t="s">
        <v>13</v>
      </c>
      <c r="C14" s="7">
        <v>72200000</v>
      </c>
      <c r="D14" s="8" t="s">
        <v>61</v>
      </c>
      <c r="E14" s="9" t="s">
        <v>17</v>
      </c>
      <c r="F14" s="7">
        <v>200047205</v>
      </c>
      <c r="G14" s="7" t="s">
        <v>59</v>
      </c>
      <c r="H14" s="10" t="s">
        <v>28</v>
      </c>
      <c r="I14" s="12">
        <v>205249667</v>
      </c>
      <c r="J14" s="7" t="s">
        <v>62</v>
      </c>
      <c r="K14" s="11">
        <v>12506.94</v>
      </c>
      <c r="L14" s="28">
        <v>543.78</v>
      </c>
      <c r="M14" s="16" t="s">
        <v>22</v>
      </c>
    </row>
    <row r="15" spans="1:13" ht="31.5" customHeight="1" x14ac:dyDescent="0.25">
      <c r="A15" s="15" t="s">
        <v>12</v>
      </c>
      <c r="B15" s="6" t="s">
        <v>18</v>
      </c>
      <c r="C15" s="7">
        <v>72200000</v>
      </c>
      <c r="D15" s="8" t="s">
        <v>66</v>
      </c>
      <c r="E15" s="9" t="s">
        <v>14</v>
      </c>
      <c r="F15" s="7">
        <v>200004748</v>
      </c>
      <c r="G15" s="7" t="s">
        <v>64</v>
      </c>
      <c r="H15" s="10" t="s">
        <v>65</v>
      </c>
      <c r="I15" s="12">
        <v>402000614</v>
      </c>
      <c r="J15" s="7" t="s">
        <v>86</v>
      </c>
      <c r="K15" s="11">
        <v>51775</v>
      </c>
      <c r="L15" s="28">
        <f>1900+3325+3135</f>
        <v>8360</v>
      </c>
      <c r="M15" s="16" t="s">
        <v>22</v>
      </c>
    </row>
    <row r="16" spans="1:13" ht="36" customHeight="1" x14ac:dyDescent="0.25">
      <c r="A16" s="15" t="s">
        <v>12</v>
      </c>
      <c r="B16" s="6" t="s">
        <v>13</v>
      </c>
      <c r="C16" s="7">
        <v>80500000</v>
      </c>
      <c r="D16" s="8" t="s">
        <v>72</v>
      </c>
      <c r="E16" s="9" t="s">
        <v>14</v>
      </c>
      <c r="F16" s="7">
        <v>200005906</v>
      </c>
      <c r="G16" s="7" t="s">
        <v>67</v>
      </c>
      <c r="H16" s="10" t="s">
        <v>68</v>
      </c>
      <c r="I16" s="12">
        <v>202430814</v>
      </c>
      <c r="J16" s="7" t="s">
        <v>87</v>
      </c>
      <c r="K16" s="11">
        <v>118000</v>
      </c>
      <c r="L16" s="28">
        <v>0</v>
      </c>
      <c r="M16" s="16" t="s">
        <v>22</v>
      </c>
    </row>
    <row r="17" spans="1:13" ht="27.75" customHeight="1" x14ac:dyDescent="0.25">
      <c r="A17" s="15" t="s">
        <v>12</v>
      </c>
      <c r="B17" s="6" t="s">
        <v>13</v>
      </c>
      <c r="C17" s="7">
        <v>72400000</v>
      </c>
      <c r="D17" s="8" t="s">
        <v>74</v>
      </c>
      <c r="E17" s="9" t="s">
        <v>17</v>
      </c>
      <c r="F17" s="7">
        <v>200063321</v>
      </c>
      <c r="G17" s="7" t="s">
        <v>69</v>
      </c>
      <c r="H17" s="10" t="s">
        <v>70</v>
      </c>
      <c r="I17" s="12">
        <v>205277369</v>
      </c>
      <c r="J17" s="7" t="s">
        <v>71</v>
      </c>
      <c r="K17" s="11">
        <v>30</v>
      </c>
      <c r="L17" s="28">
        <v>30</v>
      </c>
      <c r="M17" s="16" t="s">
        <v>63</v>
      </c>
    </row>
    <row r="18" spans="1:13" ht="40.5" customHeight="1" x14ac:dyDescent="0.25">
      <c r="A18" s="15" t="s">
        <v>12</v>
      </c>
      <c r="B18" s="6" t="s">
        <v>15</v>
      </c>
      <c r="C18" s="7">
        <v>80500000</v>
      </c>
      <c r="D18" s="8" t="s">
        <v>78</v>
      </c>
      <c r="E18" s="9" t="s">
        <v>14</v>
      </c>
      <c r="F18" s="7">
        <v>200011714</v>
      </c>
      <c r="G18" s="7" t="s">
        <v>80</v>
      </c>
      <c r="H18" s="10" t="s">
        <v>16</v>
      </c>
      <c r="I18" s="12">
        <v>212153756</v>
      </c>
      <c r="J18" s="7" t="s">
        <v>83</v>
      </c>
      <c r="K18" s="11">
        <v>55600</v>
      </c>
      <c r="L18" s="28">
        <v>19950</v>
      </c>
      <c r="M18" s="16" t="s">
        <v>63</v>
      </c>
    </row>
    <row r="19" spans="1:13" ht="28.5" customHeight="1" x14ac:dyDescent="0.25">
      <c r="A19" s="17" t="s">
        <v>57</v>
      </c>
      <c r="B19" s="6" t="s">
        <v>82</v>
      </c>
      <c r="C19" s="7">
        <v>33600000</v>
      </c>
      <c r="D19" s="8" t="s">
        <v>79</v>
      </c>
      <c r="E19" s="9" t="s">
        <v>17</v>
      </c>
      <c r="F19" s="7">
        <v>200110054</v>
      </c>
      <c r="G19" s="7" t="s">
        <v>81</v>
      </c>
      <c r="H19" s="10" t="s">
        <v>27</v>
      </c>
      <c r="I19" s="12">
        <v>243260342</v>
      </c>
      <c r="J19" s="7" t="s">
        <v>84</v>
      </c>
      <c r="K19" s="29">
        <v>274808.7</v>
      </c>
      <c r="L19" s="28">
        <v>0</v>
      </c>
      <c r="M19" s="16" t="s">
        <v>22</v>
      </c>
    </row>
    <row r="20" spans="1:13" ht="35.25" customHeight="1" x14ac:dyDescent="0.25">
      <c r="A20" s="15" t="s">
        <v>12</v>
      </c>
      <c r="B20" s="6" t="s">
        <v>18</v>
      </c>
      <c r="C20" s="7">
        <v>63700000</v>
      </c>
      <c r="D20" s="8" t="s">
        <v>35</v>
      </c>
      <c r="E20" s="9" t="s">
        <v>17</v>
      </c>
      <c r="F20" s="7">
        <v>200124557</v>
      </c>
      <c r="G20" s="7" t="s">
        <v>141</v>
      </c>
      <c r="H20" s="10" t="s">
        <v>34</v>
      </c>
      <c r="I20" s="12">
        <v>202886788</v>
      </c>
      <c r="J20" s="7" t="s">
        <v>112</v>
      </c>
      <c r="K20" s="11">
        <f>50*4</f>
        <v>200</v>
      </c>
      <c r="L20" s="28">
        <v>0</v>
      </c>
      <c r="M20" s="16" t="s">
        <v>22</v>
      </c>
    </row>
    <row r="21" spans="1:13" ht="43.5" customHeight="1" x14ac:dyDescent="0.25">
      <c r="A21" s="15" t="s">
        <v>12</v>
      </c>
      <c r="B21" s="6" t="s">
        <v>15</v>
      </c>
      <c r="C21" s="7">
        <v>85300000</v>
      </c>
      <c r="D21" s="8" t="s">
        <v>121</v>
      </c>
      <c r="E21" s="9" t="s">
        <v>14</v>
      </c>
      <c r="F21" s="7">
        <v>200014705</v>
      </c>
      <c r="G21" s="7" t="s">
        <v>88</v>
      </c>
      <c r="H21" s="10" t="s">
        <v>60</v>
      </c>
      <c r="I21" s="12">
        <v>204954843</v>
      </c>
      <c r="J21" s="7" t="s">
        <v>113</v>
      </c>
      <c r="K21" s="11">
        <f>20385+20385*18%</f>
        <v>24054.3</v>
      </c>
      <c r="L21" s="28">
        <v>0</v>
      </c>
      <c r="M21" s="16" t="s">
        <v>63</v>
      </c>
    </row>
    <row r="22" spans="1:13" ht="32.25" customHeight="1" x14ac:dyDescent="0.25">
      <c r="A22" s="17" t="s">
        <v>57</v>
      </c>
      <c r="B22" s="6" t="s">
        <v>133</v>
      </c>
      <c r="C22" s="7">
        <v>33600000</v>
      </c>
      <c r="D22" s="8" t="s">
        <v>73</v>
      </c>
      <c r="E22" s="9" t="s">
        <v>17</v>
      </c>
      <c r="F22" s="7">
        <v>200136216</v>
      </c>
      <c r="G22" s="7" t="s">
        <v>89</v>
      </c>
      <c r="H22" s="10" t="s">
        <v>50</v>
      </c>
      <c r="I22" s="12" t="s">
        <v>51</v>
      </c>
      <c r="J22" s="7" t="s">
        <v>114</v>
      </c>
      <c r="K22" s="29">
        <f>360788.11+155338.46</f>
        <v>516126.56999999995</v>
      </c>
      <c r="L22" s="28">
        <v>0</v>
      </c>
      <c r="M22" s="16" t="s">
        <v>22</v>
      </c>
    </row>
    <row r="23" spans="1:13" ht="30" customHeight="1" x14ac:dyDescent="0.25">
      <c r="A23" s="15" t="s">
        <v>12</v>
      </c>
      <c r="B23" s="6" t="s">
        <v>13</v>
      </c>
      <c r="C23" s="7">
        <v>50400000</v>
      </c>
      <c r="D23" s="8" t="s">
        <v>122</v>
      </c>
      <c r="E23" s="9" t="s">
        <v>17</v>
      </c>
      <c r="F23" s="7">
        <v>200144228</v>
      </c>
      <c r="G23" s="7" t="s">
        <v>90</v>
      </c>
      <c r="H23" s="10" t="s">
        <v>25</v>
      </c>
      <c r="I23" s="12">
        <v>51205799300010</v>
      </c>
      <c r="J23" s="7" t="s">
        <v>115</v>
      </c>
      <c r="K23" s="29">
        <v>150138</v>
      </c>
      <c r="L23" s="28">
        <v>0</v>
      </c>
      <c r="M23" s="16" t="s">
        <v>22</v>
      </c>
    </row>
    <row r="24" spans="1:13" ht="54" customHeight="1" x14ac:dyDescent="0.25">
      <c r="A24" s="15" t="s">
        <v>12</v>
      </c>
      <c r="B24" s="6" t="s">
        <v>132</v>
      </c>
      <c r="C24" s="7">
        <v>85300000</v>
      </c>
      <c r="D24" s="8" t="s">
        <v>134</v>
      </c>
      <c r="E24" s="9" t="s">
        <v>14</v>
      </c>
      <c r="F24" s="7">
        <v>200015949</v>
      </c>
      <c r="G24" s="7" t="s">
        <v>91</v>
      </c>
      <c r="H24" s="10" t="s">
        <v>76</v>
      </c>
      <c r="I24" s="12">
        <v>200007486</v>
      </c>
      <c r="J24" s="44" t="s">
        <v>116</v>
      </c>
      <c r="K24" s="11">
        <f>26145+26145*18%</f>
        <v>30851.1</v>
      </c>
      <c r="L24" s="28">
        <f>826+1974.65+2298.52+7274.82+2726.15</f>
        <v>15100.14</v>
      </c>
      <c r="M24" s="47" t="s">
        <v>63</v>
      </c>
    </row>
    <row r="25" spans="1:13" ht="56.25" customHeight="1" x14ac:dyDescent="0.25">
      <c r="A25" s="15" t="s">
        <v>12</v>
      </c>
      <c r="B25" s="6" t="s">
        <v>132</v>
      </c>
      <c r="C25" s="7">
        <v>85300000</v>
      </c>
      <c r="D25" s="8" t="s">
        <v>123</v>
      </c>
      <c r="E25" s="9" t="s">
        <v>17</v>
      </c>
      <c r="F25" s="7">
        <v>200137219</v>
      </c>
      <c r="G25" s="7" t="s">
        <v>92</v>
      </c>
      <c r="H25" s="10" t="s">
        <v>16</v>
      </c>
      <c r="I25" s="12">
        <v>212153756</v>
      </c>
      <c r="J25" s="44" t="s">
        <v>117</v>
      </c>
      <c r="K25" s="11">
        <v>10495</v>
      </c>
      <c r="L25" s="28">
        <v>500</v>
      </c>
      <c r="M25" s="47" t="s">
        <v>63</v>
      </c>
    </row>
    <row r="26" spans="1:13" ht="61.5" customHeight="1" x14ac:dyDescent="0.25">
      <c r="A26" s="15" t="s">
        <v>12</v>
      </c>
      <c r="B26" s="6" t="s">
        <v>132</v>
      </c>
      <c r="C26" s="7">
        <v>85100000</v>
      </c>
      <c r="D26" s="8" t="s">
        <v>124</v>
      </c>
      <c r="E26" s="9" t="s">
        <v>14</v>
      </c>
      <c r="F26" s="7">
        <v>200016139</v>
      </c>
      <c r="G26" s="7" t="s">
        <v>93</v>
      </c>
      <c r="H26" s="10" t="s">
        <v>94</v>
      </c>
      <c r="I26" s="12">
        <v>202905945</v>
      </c>
      <c r="J26" s="44" t="s">
        <v>118</v>
      </c>
      <c r="K26" s="11">
        <v>73040</v>
      </c>
      <c r="L26" s="28">
        <f>6208+6208+6208+6208</f>
        <v>24832</v>
      </c>
      <c r="M26" s="47" t="s">
        <v>63</v>
      </c>
    </row>
    <row r="27" spans="1:13" ht="35.25" customHeight="1" x14ac:dyDescent="0.25">
      <c r="A27" s="15" t="s">
        <v>12</v>
      </c>
      <c r="B27" s="6" t="s">
        <v>15</v>
      </c>
      <c r="C27" s="7">
        <v>85300000</v>
      </c>
      <c r="D27" s="8" t="s">
        <v>125</v>
      </c>
      <c r="E27" s="9" t="s">
        <v>14</v>
      </c>
      <c r="F27" s="7">
        <v>200016355</v>
      </c>
      <c r="G27" s="7" t="s">
        <v>95</v>
      </c>
      <c r="H27" s="10" t="s">
        <v>96</v>
      </c>
      <c r="I27" s="12">
        <v>203862855</v>
      </c>
      <c r="J27" s="7" t="s">
        <v>142</v>
      </c>
      <c r="K27" s="11">
        <v>297596</v>
      </c>
      <c r="L27" s="28">
        <f>23949.7+23811.55</f>
        <v>47761.25</v>
      </c>
      <c r="M27" s="16" t="s">
        <v>22</v>
      </c>
    </row>
    <row r="28" spans="1:13" ht="30.75" customHeight="1" x14ac:dyDescent="0.25">
      <c r="A28" s="15" t="s">
        <v>12</v>
      </c>
      <c r="B28" s="6" t="s">
        <v>132</v>
      </c>
      <c r="C28" s="7">
        <v>33100000</v>
      </c>
      <c r="D28" s="8" t="s">
        <v>126</v>
      </c>
      <c r="E28" s="9" t="s">
        <v>14</v>
      </c>
      <c r="F28" s="7">
        <v>200017353</v>
      </c>
      <c r="G28" s="7" t="s">
        <v>97</v>
      </c>
      <c r="H28" s="10" t="s">
        <v>98</v>
      </c>
      <c r="I28" s="12">
        <v>202463592</v>
      </c>
      <c r="J28" s="7" t="s">
        <v>119</v>
      </c>
      <c r="K28" s="11">
        <f>46500*3</f>
        <v>139500</v>
      </c>
      <c r="L28" s="28">
        <v>139500</v>
      </c>
      <c r="M28" s="16" t="s">
        <v>63</v>
      </c>
    </row>
    <row r="29" spans="1:13" ht="39" customHeight="1" x14ac:dyDescent="0.25">
      <c r="A29" s="15" t="s">
        <v>12</v>
      </c>
      <c r="B29" s="6" t="s">
        <v>13</v>
      </c>
      <c r="C29" s="7">
        <v>85100000</v>
      </c>
      <c r="D29" s="8" t="s">
        <v>127</v>
      </c>
      <c r="E29" s="9" t="s">
        <v>14</v>
      </c>
      <c r="F29" s="7">
        <v>200016208</v>
      </c>
      <c r="G29" s="7" t="s">
        <v>99</v>
      </c>
      <c r="H29" s="10" t="s">
        <v>100</v>
      </c>
      <c r="I29" s="12">
        <v>202172139</v>
      </c>
      <c r="J29" s="7" t="s">
        <v>143</v>
      </c>
      <c r="K29" s="11">
        <v>1271640</v>
      </c>
      <c r="L29" s="28">
        <f>60000+82111.58+80039.65+76082.18</f>
        <v>298233.41000000003</v>
      </c>
      <c r="M29" s="16" t="s">
        <v>22</v>
      </c>
    </row>
    <row r="30" spans="1:13" ht="32.25" customHeight="1" x14ac:dyDescent="0.25">
      <c r="A30" s="15" t="s">
        <v>12</v>
      </c>
      <c r="B30" s="6" t="s">
        <v>15</v>
      </c>
      <c r="C30" s="7">
        <v>85100000</v>
      </c>
      <c r="D30" s="8" t="s">
        <v>128</v>
      </c>
      <c r="E30" s="9" t="s">
        <v>14</v>
      </c>
      <c r="F30" s="7">
        <v>200016804</v>
      </c>
      <c r="G30" s="7" t="s">
        <v>101</v>
      </c>
      <c r="H30" s="10" t="s">
        <v>76</v>
      </c>
      <c r="I30" s="12">
        <v>200007486</v>
      </c>
      <c r="J30" s="7" t="s">
        <v>144</v>
      </c>
      <c r="K30" s="11">
        <v>140000</v>
      </c>
      <c r="L30" s="28">
        <f>10564.29+12010.23</f>
        <v>22574.52</v>
      </c>
      <c r="M30" s="16" t="s">
        <v>22</v>
      </c>
    </row>
    <row r="31" spans="1:13" ht="35.25" customHeight="1" x14ac:dyDescent="0.25">
      <c r="A31" s="15" t="s">
        <v>12</v>
      </c>
      <c r="B31" s="6" t="s">
        <v>15</v>
      </c>
      <c r="C31" s="7">
        <v>85100000</v>
      </c>
      <c r="D31" s="8" t="s">
        <v>129</v>
      </c>
      <c r="E31" s="9" t="s">
        <v>14</v>
      </c>
      <c r="F31" s="7">
        <v>200016803</v>
      </c>
      <c r="G31" s="7" t="s">
        <v>102</v>
      </c>
      <c r="H31" s="10" t="s">
        <v>77</v>
      </c>
      <c r="I31" s="12">
        <v>205176780</v>
      </c>
      <c r="J31" s="7" t="s">
        <v>145</v>
      </c>
      <c r="K31" s="11">
        <v>870548.78</v>
      </c>
      <c r="L31" s="28">
        <f>145241.4+145035.49</f>
        <v>290276.89</v>
      </c>
      <c r="M31" s="16" t="s">
        <v>22</v>
      </c>
    </row>
    <row r="32" spans="1:13" ht="30.75" customHeight="1" x14ac:dyDescent="0.25">
      <c r="A32" s="15" t="s">
        <v>12</v>
      </c>
      <c r="B32" s="6" t="s">
        <v>15</v>
      </c>
      <c r="C32" s="7">
        <v>85100000</v>
      </c>
      <c r="D32" s="8" t="s">
        <v>130</v>
      </c>
      <c r="E32" s="9" t="s">
        <v>14</v>
      </c>
      <c r="F32" s="7">
        <v>200016807</v>
      </c>
      <c r="G32" s="7" t="s">
        <v>103</v>
      </c>
      <c r="H32" s="10" t="s">
        <v>76</v>
      </c>
      <c r="I32" s="12">
        <v>200007486</v>
      </c>
      <c r="J32" s="7" t="s">
        <v>146</v>
      </c>
      <c r="K32" s="11">
        <v>601730</v>
      </c>
      <c r="L32" s="28">
        <f>52038.52+49610.45+49222.24</f>
        <v>150871.21</v>
      </c>
      <c r="M32" s="16" t="s">
        <v>22</v>
      </c>
    </row>
    <row r="33" spans="1:13" ht="25.5" customHeight="1" x14ac:dyDescent="0.25">
      <c r="A33" s="15" t="s">
        <v>12</v>
      </c>
      <c r="B33" s="6" t="s">
        <v>18</v>
      </c>
      <c r="C33" s="7">
        <v>72400000</v>
      </c>
      <c r="D33" s="8" t="s">
        <v>39</v>
      </c>
      <c r="E33" s="9" t="s">
        <v>17</v>
      </c>
      <c r="F33" s="7">
        <v>200151099</v>
      </c>
      <c r="G33" s="7" t="s">
        <v>104</v>
      </c>
      <c r="H33" s="10" t="s">
        <v>70</v>
      </c>
      <c r="I33" s="12">
        <v>205277369</v>
      </c>
      <c r="J33" s="7" t="s">
        <v>137</v>
      </c>
      <c r="K33" s="11">
        <v>300</v>
      </c>
      <c r="L33" s="28">
        <f>25+25+25</f>
        <v>75</v>
      </c>
      <c r="M33" s="16" t="s">
        <v>22</v>
      </c>
    </row>
    <row r="34" spans="1:13" s="13" customFormat="1" ht="40.5" customHeight="1" x14ac:dyDescent="0.25">
      <c r="A34" s="15" t="s">
        <v>12</v>
      </c>
      <c r="B34" s="6" t="s">
        <v>15</v>
      </c>
      <c r="C34" s="7">
        <v>85100000</v>
      </c>
      <c r="D34" s="8" t="s">
        <v>138</v>
      </c>
      <c r="E34" s="7" t="s">
        <v>14</v>
      </c>
      <c r="F34" s="7">
        <v>200016723</v>
      </c>
      <c r="G34" s="7" t="s">
        <v>136</v>
      </c>
      <c r="H34" s="10" t="s">
        <v>135</v>
      </c>
      <c r="I34" s="12">
        <v>204954843</v>
      </c>
      <c r="J34" s="7" t="s">
        <v>144</v>
      </c>
      <c r="K34" s="11">
        <v>1193484.8</v>
      </c>
      <c r="L34" s="28">
        <f>87251.96+93946.27+87215.71</f>
        <v>268413.94</v>
      </c>
      <c r="M34" s="18" t="s">
        <v>22</v>
      </c>
    </row>
    <row r="35" spans="1:13" ht="28.5" customHeight="1" x14ac:dyDescent="0.25">
      <c r="A35" s="15" t="s">
        <v>12</v>
      </c>
      <c r="B35" s="6" t="s">
        <v>18</v>
      </c>
      <c r="C35" s="7">
        <v>63100000</v>
      </c>
      <c r="D35" s="8" t="s">
        <v>131</v>
      </c>
      <c r="E35" s="9" t="s">
        <v>14</v>
      </c>
      <c r="F35" s="7">
        <v>200018370</v>
      </c>
      <c r="G35" s="7" t="s">
        <v>105</v>
      </c>
      <c r="H35" s="10" t="s">
        <v>106</v>
      </c>
      <c r="I35" s="12">
        <v>203836233</v>
      </c>
      <c r="J35" s="7" t="s">
        <v>120</v>
      </c>
      <c r="K35" s="11">
        <v>54620</v>
      </c>
      <c r="L35" s="27">
        <f>11095.46-3031.93</f>
        <v>8063.5299999999988</v>
      </c>
      <c r="M35" s="16" t="s">
        <v>22</v>
      </c>
    </row>
    <row r="36" spans="1:13" ht="29.25" customHeight="1" x14ac:dyDescent="0.25">
      <c r="A36" s="15" t="s">
        <v>12</v>
      </c>
      <c r="B36" s="6" t="s">
        <v>18</v>
      </c>
      <c r="C36" s="7">
        <v>15900000</v>
      </c>
      <c r="D36" s="8" t="s">
        <v>23</v>
      </c>
      <c r="E36" s="9" t="s">
        <v>17</v>
      </c>
      <c r="F36" s="7">
        <v>200151773</v>
      </c>
      <c r="G36" s="7" t="s">
        <v>107</v>
      </c>
      <c r="H36" s="10" t="s">
        <v>24</v>
      </c>
      <c r="I36" s="12">
        <v>226146872</v>
      </c>
      <c r="J36" s="7" t="s">
        <v>120</v>
      </c>
      <c r="K36" s="11">
        <f>19*0.4*12+6*6.5*12</f>
        <v>559.20000000000005</v>
      </c>
      <c r="L36" s="27">
        <f>78+48.6</f>
        <v>126.6</v>
      </c>
      <c r="M36" s="16" t="s">
        <v>22</v>
      </c>
    </row>
    <row r="37" spans="1:13" ht="24.75" customHeight="1" x14ac:dyDescent="0.25">
      <c r="A37" s="15" t="s">
        <v>12</v>
      </c>
      <c r="B37" s="6" t="s">
        <v>18</v>
      </c>
      <c r="C37" s="14" t="s">
        <v>29</v>
      </c>
      <c r="D37" s="8" t="s">
        <v>36</v>
      </c>
      <c r="E37" s="9" t="s">
        <v>19</v>
      </c>
      <c r="F37" s="7">
        <v>200000318</v>
      </c>
      <c r="G37" s="7" t="s">
        <v>108</v>
      </c>
      <c r="H37" s="10" t="s">
        <v>58</v>
      </c>
      <c r="I37" s="12">
        <v>204493002</v>
      </c>
      <c r="J37" s="7" t="s">
        <v>147</v>
      </c>
      <c r="K37" s="11">
        <v>211533.36</v>
      </c>
      <c r="L37" s="27">
        <f>K37-25617.49-16654.28-18189.91-16726.75</f>
        <v>134344.93</v>
      </c>
      <c r="M37" s="16" t="s">
        <v>22</v>
      </c>
    </row>
    <row r="38" spans="1:13" ht="24.75" customHeight="1" x14ac:dyDescent="0.25">
      <c r="A38" s="15" t="s">
        <v>12</v>
      </c>
      <c r="B38" s="6" t="s">
        <v>18</v>
      </c>
      <c r="C38" s="14" t="s">
        <v>29</v>
      </c>
      <c r="D38" s="8" t="s">
        <v>37</v>
      </c>
      <c r="E38" s="9" t="s">
        <v>19</v>
      </c>
      <c r="F38" s="7">
        <v>200000293</v>
      </c>
      <c r="G38" s="7" t="s">
        <v>109</v>
      </c>
      <c r="H38" s="10" t="s">
        <v>58</v>
      </c>
      <c r="I38" s="12">
        <v>204493002</v>
      </c>
      <c r="J38" s="7" t="s">
        <v>147</v>
      </c>
      <c r="K38" s="11">
        <f>86303*1.88</f>
        <v>162249.63999999998</v>
      </c>
      <c r="L38" s="27">
        <f>K38-20531.72-11589.46-11223.24-11864.71</f>
        <v>107040.50999999998</v>
      </c>
      <c r="M38" s="16" t="s">
        <v>22</v>
      </c>
    </row>
    <row r="39" spans="1:13" ht="24.75" customHeight="1" x14ac:dyDescent="0.25">
      <c r="A39" s="15" t="s">
        <v>12</v>
      </c>
      <c r="B39" s="6" t="s">
        <v>18</v>
      </c>
      <c r="C39" s="7">
        <v>66500000</v>
      </c>
      <c r="D39" s="8" t="s">
        <v>32</v>
      </c>
      <c r="E39" s="9" t="s">
        <v>19</v>
      </c>
      <c r="F39" s="7">
        <v>200000300</v>
      </c>
      <c r="G39" s="7" t="s">
        <v>110</v>
      </c>
      <c r="H39" s="10" t="s">
        <v>111</v>
      </c>
      <c r="I39" s="12">
        <v>402160022</v>
      </c>
      <c r="J39" s="7" t="s">
        <v>148</v>
      </c>
      <c r="K39" s="11">
        <v>4204.79</v>
      </c>
      <c r="L39" s="27">
        <f>K39-679.69-357.12-345.6-357.12</f>
        <v>2465.2600000000002</v>
      </c>
      <c r="M39" s="16" t="s">
        <v>22</v>
      </c>
    </row>
    <row r="40" spans="1:13" ht="45" customHeight="1" x14ac:dyDescent="0.25">
      <c r="A40" s="15" t="s">
        <v>12</v>
      </c>
      <c r="B40" s="6" t="s">
        <v>18</v>
      </c>
      <c r="C40" s="7">
        <v>85100000</v>
      </c>
      <c r="D40" s="8" t="s">
        <v>176</v>
      </c>
      <c r="E40" s="9" t="s">
        <v>17</v>
      </c>
      <c r="F40" s="7">
        <v>210012099</v>
      </c>
      <c r="G40" s="7" t="s">
        <v>149</v>
      </c>
      <c r="H40" s="10" t="s">
        <v>160</v>
      </c>
      <c r="I40" s="12">
        <v>251719626</v>
      </c>
      <c r="J40" s="7" t="s">
        <v>168</v>
      </c>
      <c r="K40" s="11">
        <v>301718.07</v>
      </c>
      <c r="L40" s="33">
        <f>130098.6-32685.44</f>
        <v>97413.16</v>
      </c>
      <c r="M40" s="16" t="s">
        <v>22</v>
      </c>
    </row>
    <row r="41" spans="1:13" ht="39" customHeight="1" x14ac:dyDescent="0.25">
      <c r="A41" s="15" t="s">
        <v>12</v>
      </c>
      <c r="B41" s="6" t="s">
        <v>13</v>
      </c>
      <c r="C41" s="7">
        <v>85100000</v>
      </c>
      <c r="D41" s="8" t="s">
        <v>45</v>
      </c>
      <c r="E41" s="9" t="s">
        <v>17</v>
      </c>
      <c r="F41" s="7">
        <v>210012142</v>
      </c>
      <c r="G41" s="7" t="s">
        <v>150</v>
      </c>
      <c r="H41" s="10" t="s">
        <v>161</v>
      </c>
      <c r="I41" s="12">
        <v>200294519</v>
      </c>
      <c r="J41" s="7" t="s">
        <v>169</v>
      </c>
      <c r="K41" s="11">
        <v>161000</v>
      </c>
      <c r="L41" s="28">
        <v>18235.580000000002</v>
      </c>
      <c r="M41" s="16" t="s">
        <v>22</v>
      </c>
    </row>
    <row r="42" spans="1:13" ht="24.75" customHeight="1" x14ac:dyDescent="0.25">
      <c r="A42" s="15" t="s">
        <v>12</v>
      </c>
      <c r="B42" s="6" t="s">
        <v>18</v>
      </c>
      <c r="C42" s="7">
        <v>50100000</v>
      </c>
      <c r="D42" s="8" t="s">
        <v>177</v>
      </c>
      <c r="E42" s="9" t="s">
        <v>17</v>
      </c>
      <c r="F42" s="7">
        <v>210027265</v>
      </c>
      <c r="G42" s="7" t="s">
        <v>151</v>
      </c>
      <c r="H42" s="10" t="s">
        <v>162</v>
      </c>
      <c r="I42" s="12" t="s">
        <v>167</v>
      </c>
      <c r="J42" s="7" t="s">
        <v>170</v>
      </c>
      <c r="K42" s="11">
        <f>42*15+6*60</f>
        <v>990</v>
      </c>
      <c r="L42" s="28">
        <v>0</v>
      </c>
      <c r="M42" s="16" t="s">
        <v>22</v>
      </c>
    </row>
    <row r="43" spans="1:13" ht="27" customHeight="1" x14ac:dyDescent="0.25">
      <c r="A43" s="15" t="s">
        <v>12</v>
      </c>
      <c r="B43" s="6" t="s">
        <v>13</v>
      </c>
      <c r="C43" s="7">
        <v>79300000</v>
      </c>
      <c r="D43" s="8" t="s">
        <v>178</v>
      </c>
      <c r="E43" s="9" t="s">
        <v>14</v>
      </c>
      <c r="F43" s="7">
        <v>200020424</v>
      </c>
      <c r="G43" s="7" t="s">
        <v>152</v>
      </c>
      <c r="H43" s="10" t="s">
        <v>163</v>
      </c>
      <c r="I43" s="12">
        <v>204977230</v>
      </c>
      <c r="J43" s="7" t="s">
        <v>171</v>
      </c>
      <c r="K43" s="11">
        <f>73950+73950*18%</f>
        <v>87261</v>
      </c>
      <c r="L43" s="28">
        <v>8260</v>
      </c>
      <c r="M43" s="16" t="s">
        <v>22</v>
      </c>
    </row>
    <row r="44" spans="1:13" ht="24.75" customHeight="1" x14ac:dyDescent="0.25">
      <c r="A44" s="15" t="s">
        <v>12</v>
      </c>
      <c r="B44" s="6" t="s">
        <v>15</v>
      </c>
      <c r="C44" s="7">
        <v>71600000</v>
      </c>
      <c r="D44" s="8" t="s">
        <v>179</v>
      </c>
      <c r="E44" s="9" t="s">
        <v>17</v>
      </c>
      <c r="F44" s="7">
        <v>210034204</v>
      </c>
      <c r="G44" s="7" t="s">
        <v>153</v>
      </c>
      <c r="H44" s="10" t="s">
        <v>164</v>
      </c>
      <c r="I44" s="12">
        <v>405219767</v>
      </c>
      <c r="J44" s="7" t="s">
        <v>172</v>
      </c>
      <c r="K44" s="11">
        <v>120</v>
      </c>
      <c r="L44" s="28">
        <v>0</v>
      </c>
      <c r="M44" s="16" t="s">
        <v>22</v>
      </c>
    </row>
    <row r="45" spans="1:13" ht="27" customHeight="1" x14ac:dyDescent="0.25">
      <c r="A45" s="15" t="s">
        <v>12</v>
      </c>
      <c r="B45" s="6" t="s">
        <v>15</v>
      </c>
      <c r="C45" s="7">
        <v>33600000</v>
      </c>
      <c r="D45" s="8" t="s">
        <v>75</v>
      </c>
      <c r="E45" s="9" t="s">
        <v>14</v>
      </c>
      <c r="F45" s="7">
        <v>210000778</v>
      </c>
      <c r="G45" s="7" t="s">
        <v>154</v>
      </c>
      <c r="H45" s="10" t="s">
        <v>184</v>
      </c>
      <c r="I45" s="12">
        <v>437061643</v>
      </c>
      <c r="J45" s="7" t="s">
        <v>172</v>
      </c>
      <c r="K45" s="11">
        <f>15000*1.9</f>
        <v>28500</v>
      </c>
      <c r="L45" s="28">
        <v>0</v>
      </c>
      <c r="M45" s="16" t="s">
        <v>22</v>
      </c>
    </row>
    <row r="46" spans="1:13" ht="24" customHeight="1" x14ac:dyDescent="0.25">
      <c r="A46" s="15" t="s">
        <v>12</v>
      </c>
      <c r="B46" s="6" t="s">
        <v>132</v>
      </c>
      <c r="C46" s="7">
        <v>33100000</v>
      </c>
      <c r="D46" s="8" t="s">
        <v>180</v>
      </c>
      <c r="E46" s="9" t="s">
        <v>14</v>
      </c>
      <c r="F46" s="7">
        <v>210000903</v>
      </c>
      <c r="G46" s="7" t="s">
        <v>155</v>
      </c>
      <c r="H46" s="10" t="s">
        <v>165</v>
      </c>
      <c r="I46" s="12">
        <v>405278202</v>
      </c>
      <c r="J46" s="44" t="s">
        <v>173</v>
      </c>
      <c r="K46" s="11">
        <f>26*157+4*780</f>
        <v>7202</v>
      </c>
      <c r="L46" s="28">
        <v>7202</v>
      </c>
      <c r="M46" s="47" t="s">
        <v>63</v>
      </c>
    </row>
    <row r="47" spans="1:13" ht="26.25" customHeight="1" x14ac:dyDescent="0.25">
      <c r="A47" s="15" t="s">
        <v>12</v>
      </c>
      <c r="B47" s="6" t="s">
        <v>18</v>
      </c>
      <c r="C47" s="7">
        <v>79500000</v>
      </c>
      <c r="D47" s="8" t="s">
        <v>20</v>
      </c>
      <c r="E47" s="9" t="s">
        <v>17</v>
      </c>
      <c r="F47" s="7">
        <v>210035759</v>
      </c>
      <c r="G47" s="7" t="s">
        <v>156</v>
      </c>
      <c r="H47" s="10" t="s">
        <v>38</v>
      </c>
      <c r="I47" s="12">
        <v>404509297</v>
      </c>
      <c r="J47" s="44" t="s">
        <v>282</v>
      </c>
      <c r="K47" s="11">
        <f>8.26*200+2.36*200+2.95*65</f>
        <v>2315.75</v>
      </c>
      <c r="L47" s="28">
        <v>147.78</v>
      </c>
      <c r="M47" s="46" t="s">
        <v>22</v>
      </c>
    </row>
    <row r="48" spans="1:13" ht="23.25" customHeight="1" x14ac:dyDescent="0.25">
      <c r="A48" s="15" t="s">
        <v>12</v>
      </c>
      <c r="B48" s="6" t="s">
        <v>13</v>
      </c>
      <c r="C48" s="7">
        <v>72200000</v>
      </c>
      <c r="D48" s="8" t="s">
        <v>181</v>
      </c>
      <c r="E48" s="9" t="s">
        <v>14</v>
      </c>
      <c r="F48" s="7">
        <v>210001074</v>
      </c>
      <c r="G48" s="7" t="s">
        <v>157</v>
      </c>
      <c r="H48" s="10" t="s">
        <v>28</v>
      </c>
      <c r="I48" s="12">
        <v>205249667</v>
      </c>
      <c r="J48" s="44" t="s">
        <v>174</v>
      </c>
      <c r="K48" s="11">
        <v>141600</v>
      </c>
      <c r="L48" s="28">
        <f>14160</f>
        <v>14160</v>
      </c>
      <c r="M48" s="16" t="s">
        <v>22</v>
      </c>
    </row>
    <row r="49" spans="1:13" ht="34.5" customHeight="1" x14ac:dyDescent="0.25">
      <c r="A49" s="15" t="s">
        <v>12</v>
      </c>
      <c r="B49" s="6" t="s">
        <v>15</v>
      </c>
      <c r="C49" s="7">
        <v>85100000</v>
      </c>
      <c r="D49" s="8" t="s">
        <v>30</v>
      </c>
      <c r="E49" s="9" t="s">
        <v>14</v>
      </c>
      <c r="F49" s="7">
        <v>210002214</v>
      </c>
      <c r="G49" s="7" t="s">
        <v>158</v>
      </c>
      <c r="H49" s="10" t="s">
        <v>16</v>
      </c>
      <c r="I49" s="12">
        <v>212153756</v>
      </c>
      <c r="J49" s="44" t="s">
        <v>283</v>
      </c>
      <c r="K49" s="11">
        <v>120000</v>
      </c>
      <c r="L49" s="28">
        <f>8145*3</f>
        <v>24435</v>
      </c>
      <c r="M49" s="46" t="s">
        <v>22</v>
      </c>
    </row>
    <row r="50" spans="1:13" ht="27.75" customHeight="1" x14ac:dyDescent="0.25">
      <c r="A50" s="15" t="s">
        <v>12</v>
      </c>
      <c r="B50" s="6" t="s">
        <v>13</v>
      </c>
      <c r="C50" s="7">
        <v>33600000</v>
      </c>
      <c r="D50" s="8" t="s">
        <v>182</v>
      </c>
      <c r="E50" s="9" t="s">
        <v>14</v>
      </c>
      <c r="F50" s="7">
        <v>210003970</v>
      </c>
      <c r="G50" s="7" t="s">
        <v>159</v>
      </c>
      <c r="H50" s="10" t="s">
        <v>166</v>
      </c>
      <c r="I50" s="12">
        <v>404505068</v>
      </c>
      <c r="J50" s="44" t="s">
        <v>175</v>
      </c>
      <c r="K50" s="11">
        <f>104.6*65</f>
        <v>6799</v>
      </c>
      <c r="L50" s="28">
        <v>6799</v>
      </c>
      <c r="M50" s="47" t="s">
        <v>63</v>
      </c>
    </row>
    <row r="51" spans="1:13" ht="20.25" customHeight="1" x14ac:dyDescent="0.25">
      <c r="A51" s="53" t="s">
        <v>12</v>
      </c>
      <c r="B51" s="52" t="s">
        <v>18</v>
      </c>
      <c r="C51" s="7">
        <v>9200000</v>
      </c>
      <c r="D51" s="8" t="s">
        <v>256</v>
      </c>
      <c r="E51" s="49" t="s">
        <v>19</v>
      </c>
      <c r="F51" s="49">
        <v>200000320</v>
      </c>
      <c r="G51" s="49" t="s">
        <v>185</v>
      </c>
      <c r="H51" s="49" t="s">
        <v>237</v>
      </c>
      <c r="I51" s="49">
        <v>202177205</v>
      </c>
      <c r="J51" s="57" t="s">
        <v>212</v>
      </c>
      <c r="K51" s="11">
        <f>(22.5+20)*11.5</f>
        <v>488.75</v>
      </c>
      <c r="L51" s="28">
        <f>4*11.5</f>
        <v>46</v>
      </c>
      <c r="M51" s="51" t="s">
        <v>22</v>
      </c>
    </row>
    <row r="52" spans="1:13" ht="21" customHeight="1" x14ac:dyDescent="0.25">
      <c r="A52" s="53"/>
      <c r="B52" s="52"/>
      <c r="C52" s="7">
        <v>42900000</v>
      </c>
      <c r="D52" s="8" t="s">
        <v>257</v>
      </c>
      <c r="E52" s="49"/>
      <c r="F52" s="49"/>
      <c r="G52" s="49"/>
      <c r="H52" s="49"/>
      <c r="I52" s="49"/>
      <c r="J52" s="57"/>
      <c r="K52" s="11">
        <f>10*15.85</f>
        <v>158.5</v>
      </c>
      <c r="L52" s="28">
        <v>15.85</v>
      </c>
      <c r="M52" s="51"/>
    </row>
    <row r="53" spans="1:13" ht="26.25" customHeight="1" x14ac:dyDescent="0.25">
      <c r="A53" s="15" t="s">
        <v>12</v>
      </c>
      <c r="B53" s="6" t="s">
        <v>255</v>
      </c>
      <c r="C53" s="7">
        <v>15800000</v>
      </c>
      <c r="D53" s="8" t="s">
        <v>258</v>
      </c>
      <c r="E53" s="9" t="s">
        <v>14</v>
      </c>
      <c r="F53" s="7">
        <v>210003976</v>
      </c>
      <c r="G53" s="7" t="s">
        <v>186</v>
      </c>
      <c r="H53" s="10" t="s">
        <v>238</v>
      </c>
      <c r="I53" s="12">
        <v>417887380</v>
      </c>
      <c r="J53" s="7" t="s">
        <v>213</v>
      </c>
      <c r="K53" s="11">
        <v>178870</v>
      </c>
      <c r="L53" s="28">
        <v>178870</v>
      </c>
      <c r="M53" s="16" t="s">
        <v>63</v>
      </c>
    </row>
    <row r="54" spans="1:13" ht="24" customHeight="1" x14ac:dyDescent="0.25">
      <c r="A54" s="15" t="s">
        <v>12</v>
      </c>
      <c r="B54" s="6" t="s">
        <v>82</v>
      </c>
      <c r="C54" s="7">
        <v>33600000</v>
      </c>
      <c r="D54" s="8" t="s">
        <v>79</v>
      </c>
      <c r="E54" s="9" t="s">
        <v>17</v>
      </c>
      <c r="F54" s="7">
        <v>210056037</v>
      </c>
      <c r="G54" s="7" t="s">
        <v>187</v>
      </c>
      <c r="H54" s="10" t="s">
        <v>27</v>
      </c>
      <c r="I54" s="12" t="s">
        <v>281</v>
      </c>
      <c r="J54" s="7" t="s">
        <v>214</v>
      </c>
      <c r="K54" s="29">
        <f>99486.49+42309.03</f>
        <v>141795.52000000002</v>
      </c>
      <c r="L54" s="28">
        <f>145961.93+343218.45</f>
        <v>489180.38</v>
      </c>
      <c r="M54" s="16" t="s">
        <v>22</v>
      </c>
    </row>
    <row r="55" spans="1:13" ht="24.75" customHeight="1" x14ac:dyDescent="0.25">
      <c r="A55" s="15" t="s">
        <v>12</v>
      </c>
      <c r="B55" s="6" t="s">
        <v>13</v>
      </c>
      <c r="C55" s="7">
        <v>33600000</v>
      </c>
      <c r="D55" s="8" t="s">
        <v>259</v>
      </c>
      <c r="E55" s="9" t="s">
        <v>17</v>
      </c>
      <c r="F55" s="7">
        <v>210056733</v>
      </c>
      <c r="G55" s="7" t="s">
        <v>188</v>
      </c>
      <c r="H55" s="10" t="s">
        <v>25</v>
      </c>
      <c r="I55" s="12">
        <v>51205799300010</v>
      </c>
      <c r="J55" s="7" t="s">
        <v>215</v>
      </c>
      <c r="K55" s="29">
        <f>682*198+2464</f>
        <v>137500</v>
      </c>
      <c r="L55" s="28">
        <v>474361.25</v>
      </c>
      <c r="M55" s="16" t="s">
        <v>22</v>
      </c>
    </row>
    <row r="56" spans="1:13" ht="30" customHeight="1" x14ac:dyDescent="0.25">
      <c r="A56" s="15" t="s">
        <v>12</v>
      </c>
      <c r="B56" s="6" t="s">
        <v>13</v>
      </c>
      <c r="C56" s="7">
        <v>33100000</v>
      </c>
      <c r="D56" s="8" t="s">
        <v>260</v>
      </c>
      <c r="E56" s="9" t="s">
        <v>14</v>
      </c>
      <c r="F56" s="7">
        <v>210005891</v>
      </c>
      <c r="G56" s="7" t="s">
        <v>189</v>
      </c>
      <c r="H56" s="10" t="s">
        <v>239</v>
      </c>
      <c r="I56" s="12">
        <v>404421185</v>
      </c>
      <c r="J56" s="7" t="s">
        <v>216</v>
      </c>
      <c r="K56" s="11">
        <f>92*9+400*3.3</f>
        <v>2148</v>
      </c>
      <c r="L56" s="28"/>
      <c r="M56" s="16" t="s">
        <v>22</v>
      </c>
    </row>
    <row r="57" spans="1:13" ht="25.5" customHeight="1" x14ac:dyDescent="0.25">
      <c r="A57" s="15" t="s">
        <v>12</v>
      </c>
      <c r="B57" s="6" t="s">
        <v>18</v>
      </c>
      <c r="C57" s="7">
        <v>33100000</v>
      </c>
      <c r="D57" s="8" t="s">
        <v>261</v>
      </c>
      <c r="E57" s="9" t="s">
        <v>14</v>
      </c>
      <c r="F57" s="7">
        <v>210005892</v>
      </c>
      <c r="G57" s="7" t="s">
        <v>190</v>
      </c>
      <c r="H57" s="10" t="s">
        <v>239</v>
      </c>
      <c r="I57" s="12">
        <v>404421185</v>
      </c>
      <c r="J57" s="7" t="s">
        <v>217</v>
      </c>
      <c r="K57" s="11">
        <f>3700*0.85+3700*1.65+300*3.75</f>
        <v>10375</v>
      </c>
      <c r="L57" s="28">
        <v>570</v>
      </c>
      <c r="M57" s="16" t="s">
        <v>22</v>
      </c>
    </row>
    <row r="58" spans="1:13" ht="36.75" customHeight="1" x14ac:dyDescent="0.25">
      <c r="A58" s="15" t="s">
        <v>12</v>
      </c>
      <c r="B58" s="6" t="s">
        <v>13</v>
      </c>
      <c r="C58" s="7">
        <v>55500000</v>
      </c>
      <c r="D58" s="8" t="s">
        <v>262</v>
      </c>
      <c r="E58" s="9" t="s">
        <v>17</v>
      </c>
      <c r="F58" s="7">
        <v>210060949</v>
      </c>
      <c r="G58" s="7" t="s">
        <v>191</v>
      </c>
      <c r="H58" s="10" t="s">
        <v>240</v>
      </c>
      <c r="I58" s="12">
        <v>205090890</v>
      </c>
      <c r="J58" s="7" t="s">
        <v>218</v>
      </c>
      <c r="K58" s="11">
        <f>12*(34+34*18%)</f>
        <v>481.43999999999994</v>
      </c>
      <c r="L58" s="28">
        <v>481.44</v>
      </c>
      <c r="M58" s="16" t="s">
        <v>63</v>
      </c>
    </row>
    <row r="59" spans="1:13" ht="20.25" customHeight="1" x14ac:dyDescent="0.25">
      <c r="A59" s="53" t="s">
        <v>12</v>
      </c>
      <c r="B59" s="52" t="s">
        <v>13</v>
      </c>
      <c r="C59" s="7">
        <v>33600000</v>
      </c>
      <c r="D59" s="54" t="s">
        <v>263</v>
      </c>
      <c r="E59" s="50" t="s">
        <v>17</v>
      </c>
      <c r="F59" s="50">
        <v>210061085</v>
      </c>
      <c r="G59" s="50" t="s">
        <v>192</v>
      </c>
      <c r="H59" s="50" t="s">
        <v>25</v>
      </c>
      <c r="I59" s="58" t="s">
        <v>285</v>
      </c>
      <c r="J59" s="50" t="s">
        <v>219</v>
      </c>
      <c r="K59" s="29">
        <f>15275-K60-K61</f>
        <v>4297.619999999999</v>
      </c>
      <c r="L59" s="28">
        <v>14733</v>
      </c>
      <c r="M59" s="51" t="s">
        <v>22</v>
      </c>
    </row>
    <row r="60" spans="1:13" ht="19.5" customHeight="1" x14ac:dyDescent="0.25">
      <c r="A60" s="53"/>
      <c r="B60" s="52"/>
      <c r="C60" s="7">
        <v>33100000</v>
      </c>
      <c r="D60" s="54"/>
      <c r="E60" s="50"/>
      <c r="F60" s="50"/>
      <c r="G60" s="50"/>
      <c r="H60" s="50"/>
      <c r="I60" s="58"/>
      <c r="J60" s="50"/>
      <c r="K60" s="29">
        <v>8378.19</v>
      </c>
      <c r="L60" s="28">
        <v>28722.948777000001</v>
      </c>
      <c r="M60" s="51"/>
    </row>
    <row r="61" spans="1:13" ht="21" customHeight="1" x14ac:dyDescent="0.25">
      <c r="A61" s="53"/>
      <c r="B61" s="52"/>
      <c r="C61" s="7">
        <v>30200000</v>
      </c>
      <c r="D61" s="54"/>
      <c r="E61" s="50"/>
      <c r="F61" s="50"/>
      <c r="G61" s="50"/>
      <c r="H61" s="50"/>
      <c r="I61" s="58"/>
      <c r="J61" s="50"/>
      <c r="K61" s="29">
        <v>2599.19</v>
      </c>
      <c r="L61" s="28">
        <v>8910.8082753800009</v>
      </c>
      <c r="M61" s="51"/>
    </row>
    <row r="62" spans="1:13" ht="25.5" customHeight="1" x14ac:dyDescent="0.25">
      <c r="A62" s="15" t="s">
        <v>12</v>
      </c>
      <c r="B62" s="6" t="s">
        <v>255</v>
      </c>
      <c r="C62" s="7">
        <v>64100000</v>
      </c>
      <c r="D62" s="8" t="s">
        <v>264</v>
      </c>
      <c r="E62" s="9" t="s">
        <v>14</v>
      </c>
      <c r="F62" s="7">
        <v>210005480</v>
      </c>
      <c r="G62" s="7" t="s">
        <v>193</v>
      </c>
      <c r="H62" s="10" t="s">
        <v>241</v>
      </c>
      <c r="I62" s="12">
        <v>202459883</v>
      </c>
      <c r="J62" s="7" t="s">
        <v>220</v>
      </c>
      <c r="K62" s="11">
        <v>32550</v>
      </c>
      <c r="L62" s="28"/>
      <c r="M62" s="16" t="s">
        <v>22</v>
      </c>
    </row>
    <row r="63" spans="1:13" ht="25.5" customHeight="1" x14ac:dyDescent="0.25">
      <c r="A63" s="15" t="s">
        <v>12</v>
      </c>
      <c r="B63" s="6" t="s">
        <v>15</v>
      </c>
      <c r="C63" s="7">
        <v>33600000</v>
      </c>
      <c r="D63" s="8" t="s">
        <v>265</v>
      </c>
      <c r="E63" s="9" t="s">
        <v>19</v>
      </c>
      <c r="F63" s="7">
        <v>200000345</v>
      </c>
      <c r="G63" s="7" t="s">
        <v>194</v>
      </c>
      <c r="H63" s="10" t="s">
        <v>242</v>
      </c>
      <c r="I63" s="12">
        <v>201991229</v>
      </c>
      <c r="J63" s="7" t="s">
        <v>221</v>
      </c>
      <c r="K63" s="11">
        <f>30000*0.105</f>
        <v>3150</v>
      </c>
      <c r="L63" s="28">
        <f>15000*0.105</f>
        <v>1575</v>
      </c>
      <c r="M63" s="16" t="s">
        <v>22</v>
      </c>
    </row>
    <row r="64" spans="1:13" ht="25.5" customHeight="1" x14ac:dyDescent="0.25">
      <c r="A64" s="15" t="s">
        <v>12</v>
      </c>
      <c r="B64" s="6" t="s">
        <v>18</v>
      </c>
      <c r="C64" s="7">
        <v>79200000</v>
      </c>
      <c r="D64" s="8" t="s">
        <v>266</v>
      </c>
      <c r="E64" s="9" t="s">
        <v>14</v>
      </c>
      <c r="F64" s="7">
        <v>210005631</v>
      </c>
      <c r="G64" s="7" t="s">
        <v>195</v>
      </c>
      <c r="H64" s="10" t="s">
        <v>243</v>
      </c>
      <c r="I64" s="12">
        <v>405220611</v>
      </c>
      <c r="J64" s="7" t="s">
        <v>222</v>
      </c>
      <c r="K64" s="29">
        <f>343800/3.4235</f>
        <v>100423.54315758726</v>
      </c>
      <c r="L64" s="28"/>
      <c r="M64" s="16" t="s">
        <v>22</v>
      </c>
    </row>
    <row r="65" spans="1:13" ht="25.5" customHeight="1" x14ac:dyDescent="0.25">
      <c r="A65" s="15" t="s">
        <v>12</v>
      </c>
      <c r="B65" s="6" t="s">
        <v>13</v>
      </c>
      <c r="C65" s="7">
        <v>33600000</v>
      </c>
      <c r="D65" s="8" t="s">
        <v>267</v>
      </c>
      <c r="E65" s="9" t="s">
        <v>14</v>
      </c>
      <c r="F65" s="7">
        <v>210007310</v>
      </c>
      <c r="G65" s="7" t="s">
        <v>196</v>
      </c>
      <c r="H65" s="10" t="s">
        <v>244</v>
      </c>
      <c r="I65" s="12">
        <v>202161640</v>
      </c>
      <c r="J65" s="44" t="s">
        <v>223</v>
      </c>
      <c r="K65" s="11">
        <v>17188</v>
      </c>
      <c r="L65" s="28">
        <v>17188</v>
      </c>
      <c r="M65" s="47" t="s">
        <v>63</v>
      </c>
    </row>
    <row r="66" spans="1:13" ht="25.5" customHeight="1" x14ac:dyDescent="0.25">
      <c r="A66" s="15" t="s">
        <v>12</v>
      </c>
      <c r="B66" s="6" t="s">
        <v>132</v>
      </c>
      <c r="C66" s="7">
        <v>33100000</v>
      </c>
      <c r="D66" s="8" t="s">
        <v>268</v>
      </c>
      <c r="E66" s="9" t="s">
        <v>19</v>
      </c>
      <c r="F66" s="7">
        <v>200000287</v>
      </c>
      <c r="G66" s="7" t="s">
        <v>197</v>
      </c>
      <c r="H66" s="10" t="s">
        <v>245</v>
      </c>
      <c r="I66" s="12">
        <v>202203123</v>
      </c>
      <c r="J66" s="44" t="s">
        <v>224</v>
      </c>
      <c r="K66" s="11">
        <f>500000*0.103</f>
        <v>51500</v>
      </c>
      <c r="L66" s="28">
        <v>51500</v>
      </c>
      <c r="M66" s="47" t="s">
        <v>63</v>
      </c>
    </row>
    <row r="67" spans="1:13" ht="25.5" customHeight="1" x14ac:dyDescent="0.25">
      <c r="A67" s="15" t="s">
        <v>12</v>
      </c>
      <c r="B67" s="6" t="s">
        <v>18</v>
      </c>
      <c r="C67" s="7">
        <v>50100000</v>
      </c>
      <c r="D67" s="8" t="s">
        <v>269</v>
      </c>
      <c r="E67" s="9" t="s">
        <v>17</v>
      </c>
      <c r="F67" s="7">
        <v>210063646</v>
      </c>
      <c r="G67" s="7" t="s">
        <v>198</v>
      </c>
      <c r="H67" s="10" t="s">
        <v>246</v>
      </c>
      <c r="I67" s="12">
        <v>439868458</v>
      </c>
      <c r="J67" s="7" t="s">
        <v>225</v>
      </c>
      <c r="K67" s="11">
        <f>9*16</f>
        <v>144</v>
      </c>
      <c r="L67" s="28">
        <v>0</v>
      </c>
      <c r="M67" s="46" t="s">
        <v>22</v>
      </c>
    </row>
    <row r="68" spans="1:13" ht="25.5" customHeight="1" x14ac:dyDescent="0.25">
      <c r="A68" s="15" t="s">
        <v>12</v>
      </c>
      <c r="B68" s="6" t="s">
        <v>18</v>
      </c>
      <c r="C68" s="7">
        <v>64200000</v>
      </c>
      <c r="D68" s="8" t="s">
        <v>270</v>
      </c>
      <c r="E68" s="9" t="s">
        <v>17</v>
      </c>
      <c r="F68" s="7">
        <v>210063661</v>
      </c>
      <c r="G68" s="7" t="s">
        <v>199</v>
      </c>
      <c r="H68" s="10" t="s">
        <v>247</v>
      </c>
      <c r="I68" s="12">
        <v>205035282</v>
      </c>
      <c r="J68" s="7" t="s">
        <v>226</v>
      </c>
      <c r="K68" s="11">
        <f>30*6</f>
        <v>180</v>
      </c>
      <c r="L68" s="28"/>
      <c r="M68" s="16" t="s">
        <v>22</v>
      </c>
    </row>
    <row r="69" spans="1:13" ht="25.5" customHeight="1" x14ac:dyDescent="0.25">
      <c r="A69" s="15" t="s">
        <v>12</v>
      </c>
      <c r="B69" s="6" t="s">
        <v>15</v>
      </c>
      <c r="C69" s="7">
        <v>34300000</v>
      </c>
      <c r="D69" s="8" t="s">
        <v>271</v>
      </c>
      <c r="E69" s="9" t="s">
        <v>19</v>
      </c>
      <c r="F69" s="7">
        <v>210000161</v>
      </c>
      <c r="G69" s="7" t="s">
        <v>200</v>
      </c>
      <c r="H69" s="10" t="s">
        <v>237</v>
      </c>
      <c r="I69" s="12">
        <v>202177205</v>
      </c>
      <c r="J69" s="7" t="s">
        <v>227</v>
      </c>
      <c r="K69" s="11">
        <f>8*159</f>
        <v>1272</v>
      </c>
      <c r="L69" s="28"/>
      <c r="M69" s="16" t="s">
        <v>22</v>
      </c>
    </row>
    <row r="70" spans="1:13" ht="45" customHeight="1" x14ac:dyDescent="0.25">
      <c r="A70" s="15" t="s">
        <v>12</v>
      </c>
      <c r="B70" s="6" t="s">
        <v>18</v>
      </c>
      <c r="C70" s="7">
        <v>85300000</v>
      </c>
      <c r="D70" s="8" t="s">
        <v>272</v>
      </c>
      <c r="E70" s="9" t="s">
        <v>14</v>
      </c>
      <c r="F70" s="7">
        <v>210006818</v>
      </c>
      <c r="G70" s="7" t="s">
        <v>201</v>
      </c>
      <c r="H70" s="10" t="s">
        <v>248</v>
      </c>
      <c r="I70" s="12">
        <v>202430814</v>
      </c>
      <c r="J70" s="7" t="s">
        <v>228</v>
      </c>
      <c r="K70" s="11">
        <v>180658</v>
      </c>
      <c r="L70" s="28"/>
      <c r="M70" s="16" t="s">
        <v>22</v>
      </c>
    </row>
    <row r="71" spans="1:13" ht="21" customHeight="1" x14ac:dyDescent="0.25">
      <c r="A71" s="53" t="s">
        <v>12</v>
      </c>
      <c r="B71" s="52" t="s">
        <v>132</v>
      </c>
      <c r="C71" s="7">
        <v>55100000</v>
      </c>
      <c r="D71" s="54" t="s">
        <v>273</v>
      </c>
      <c r="E71" s="50" t="s">
        <v>17</v>
      </c>
      <c r="F71" s="50">
        <v>210075730</v>
      </c>
      <c r="G71" s="50" t="s">
        <v>202</v>
      </c>
      <c r="H71" s="50" t="s">
        <v>249</v>
      </c>
      <c r="I71" s="50">
        <v>204544154</v>
      </c>
      <c r="J71" s="50" t="s">
        <v>229</v>
      </c>
      <c r="K71" s="11">
        <v>2831.41</v>
      </c>
      <c r="L71" s="28">
        <v>2831.41</v>
      </c>
      <c r="M71" s="48" t="s">
        <v>63</v>
      </c>
    </row>
    <row r="72" spans="1:13" ht="19.5" customHeight="1" x14ac:dyDescent="0.25">
      <c r="A72" s="53"/>
      <c r="B72" s="52"/>
      <c r="C72" s="7">
        <v>55500000</v>
      </c>
      <c r="D72" s="54"/>
      <c r="E72" s="50"/>
      <c r="F72" s="50"/>
      <c r="G72" s="50"/>
      <c r="H72" s="50"/>
      <c r="I72" s="50"/>
      <c r="J72" s="50"/>
      <c r="K72" s="11">
        <v>2832</v>
      </c>
      <c r="L72" s="28">
        <v>2832</v>
      </c>
      <c r="M72" s="48"/>
    </row>
    <row r="73" spans="1:13" ht="24.75" customHeight="1" x14ac:dyDescent="0.25">
      <c r="A73" s="15" t="s">
        <v>12</v>
      </c>
      <c r="B73" s="6" t="s">
        <v>132</v>
      </c>
      <c r="C73" s="7">
        <v>33100000</v>
      </c>
      <c r="D73" s="8" t="s">
        <v>274</v>
      </c>
      <c r="E73" s="9" t="s">
        <v>14</v>
      </c>
      <c r="F73" s="7">
        <v>210008472</v>
      </c>
      <c r="G73" s="7" t="s">
        <v>203</v>
      </c>
      <c r="H73" s="10" t="s">
        <v>250</v>
      </c>
      <c r="I73" s="12">
        <v>406265786</v>
      </c>
      <c r="J73" s="44" t="s">
        <v>230</v>
      </c>
      <c r="K73" s="11">
        <f>1500*4.9</f>
        <v>7350.0000000000009</v>
      </c>
      <c r="L73" s="28">
        <f>1500*4.9</f>
        <v>7350.0000000000009</v>
      </c>
      <c r="M73" s="47" t="s">
        <v>63</v>
      </c>
    </row>
    <row r="74" spans="1:13" ht="24.75" customHeight="1" x14ac:dyDescent="0.25">
      <c r="A74" s="15" t="s">
        <v>12</v>
      </c>
      <c r="B74" s="6" t="s">
        <v>15</v>
      </c>
      <c r="C74" s="7">
        <v>33100000</v>
      </c>
      <c r="D74" s="8" t="s">
        <v>275</v>
      </c>
      <c r="E74" s="9" t="s">
        <v>14</v>
      </c>
      <c r="F74" s="7">
        <v>210008598</v>
      </c>
      <c r="G74" s="7" t="s">
        <v>204</v>
      </c>
      <c r="H74" s="10" t="s">
        <v>251</v>
      </c>
      <c r="I74" s="12">
        <v>202455128</v>
      </c>
      <c r="J74" s="7" t="s">
        <v>231</v>
      </c>
      <c r="K74" s="11">
        <f>15300*(0.5+0.5*18%)</f>
        <v>9027</v>
      </c>
      <c r="L74" s="28"/>
      <c r="M74" s="16" t="s">
        <v>22</v>
      </c>
    </row>
    <row r="75" spans="1:13" ht="24.75" customHeight="1" x14ac:dyDescent="0.25">
      <c r="A75" s="15" t="s">
        <v>12</v>
      </c>
      <c r="B75" s="6" t="s">
        <v>13</v>
      </c>
      <c r="C75" s="7">
        <v>33600000</v>
      </c>
      <c r="D75" s="8" t="s">
        <v>276</v>
      </c>
      <c r="E75" s="9" t="s">
        <v>14</v>
      </c>
      <c r="F75" s="7">
        <v>210009000</v>
      </c>
      <c r="G75" s="7" t="s">
        <v>205</v>
      </c>
      <c r="H75" s="10" t="s">
        <v>252</v>
      </c>
      <c r="I75" s="12">
        <v>205242450</v>
      </c>
      <c r="J75" s="7" t="s">
        <v>232</v>
      </c>
      <c r="K75" s="11">
        <f>14*389.5</f>
        <v>5453</v>
      </c>
      <c r="L75" s="28"/>
      <c r="M75" s="16" t="s">
        <v>22</v>
      </c>
    </row>
    <row r="76" spans="1:13" ht="24.75" customHeight="1" x14ac:dyDescent="0.25">
      <c r="A76" s="15" t="s">
        <v>12</v>
      </c>
      <c r="B76" s="6" t="s">
        <v>15</v>
      </c>
      <c r="C76" s="7">
        <v>33100000</v>
      </c>
      <c r="D76" s="8" t="s">
        <v>277</v>
      </c>
      <c r="E76" s="9" t="s">
        <v>19</v>
      </c>
      <c r="F76" s="7">
        <v>210000281</v>
      </c>
      <c r="G76" s="7" t="s">
        <v>206</v>
      </c>
      <c r="H76" s="10" t="s">
        <v>251</v>
      </c>
      <c r="I76" s="12">
        <v>202455128</v>
      </c>
      <c r="J76" s="7" t="s">
        <v>233</v>
      </c>
      <c r="K76" s="11">
        <f>220000*0.22</f>
        <v>48400</v>
      </c>
      <c r="L76" s="28"/>
      <c r="M76" s="16" t="s">
        <v>22</v>
      </c>
    </row>
    <row r="77" spans="1:13" ht="24.75" customHeight="1" x14ac:dyDescent="0.25">
      <c r="A77" s="15" t="s">
        <v>12</v>
      </c>
      <c r="B77" s="6" t="s">
        <v>13</v>
      </c>
      <c r="C77" s="7">
        <v>72400000</v>
      </c>
      <c r="D77" s="8" t="s">
        <v>74</v>
      </c>
      <c r="E77" s="9" t="s">
        <v>17</v>
      </c>
      <c r="F77" s="7">
        <v>210077573</v>
      </c>
      <c r="G77" s="7" t="s">
        <v>207</v>
      </c>
      <c r="H77" s="10" t="s">
        <v>70</v>
      </c>
      <c r="I77" s="12">
        <v>205277369</v>
      </c>
      <c r="J77" s="7" t="s">
        <v>234</v>
      </c>
      <c r="K77" s="11">
        <v>30</v>
      </c>
      <c r="L77" s="28"/>
      <c r="M77" s="16" t="s">
        <v>22</v>
      </c>
    </row>
    <row r="78" spans="1:13" ht="24.75" customHeight="1" x14ac:dyDescent="0.25">
      <c r="A78" s="15" t="s">
        <v>12</v>
      </c>
      <c r="B78" s="6" t="s">
        <v>15</v>
      </c>
      <c r="C78" s="7">
        <v>33100000</v>
      </c>
      <c r="D78" s="8" t="s">
        <v>278</v>
      </c>
      <c r="E78" s="9" t="s">
        <v>19</v>
      </c>
      <c r="F78" s="7">
        <v>210000224</v>
      </c>
      <c r="G78" s="7" t="s">
        <v>208</v>
      </c>
      <c r="H78" s="10" t="s">
        <v>251</v>
      </c>
      <c r="I78" s="12">
        <v>202455128</v>
      </c>
      <c r="J78" s="7" t="s">
        <v>233</v>
      </c>
      <c r="K78" s="11">
        <f>1400000*0.17+80000*0.165+140000*0.165+117500*0.165+100000*0.04+95000*0.04+85000*0.04</f>
        <v>304887.5</v>
      </c>
      <c r="L78" s="28"/>
      <c r="M78" s="16" t="s">
        <v>22</v>
      </c>
    </row>
    <row r="79" spans="1:13" ht="24.75" customHeight="1" x14ac:dyDescent="0.25">
      <c r="A79" s="15" t="s">
        <v>12</v>
      </c>
      <c r="B79" s="6" t="s">
        <v>132</v>
      </c>
      <c r="C79" s="7">
        <v>33100000</v>
      </c>
      <c r="D79" s="8" t="s">
        <v>279</v>
      </c>
      <c r="E79" s="9" t="s">
        <v>19</v>
      </c>
      <c r="F79" s="7">
        <v>210000145</v>
      </c>
      <c r="G79" s="7" t="s">
        <v>209</v>
      </c>
      <c r="H79" s="10" t="s">
        <v>242</v>
      </c>
      <c r="I79" s="12">
        <v>201991229</v>
      </c>
      <c r="J79" s="44" t="s">
        <v>235</v>
      </c>
      <c r="K79" s="11">
        <f>50000*0.04</f>
        <v>2000</v>
      </c>
      <c r="L79" s="28">
        <f>50000*0.04</f>
        <v>2000</v>
      </c>
      <c r="M79" s="47" t="s">
        <v>63</v>
      </c>
    </row>
    <row r="80" spans="1:13" ht="26.25" customHeight="1" x14ac:dyDescent="0.25">
      <c r="A80" s="15" t="s">
        <v>12</v>
      </c>
      <c r="B80" s="6" t="s">
        <v>132</v>
      </c>
      <c r="C80" s="7">
        <v>33100000</v>
      </c>
      <c r="D80" s="8" t="s">
        <v>280</v>
      </c>
      <c r="E80" s="9" t="s">
        <v>19</v>
      </c>
      <c r="F80" s="7">
        <v>200000317</v>
      </c>
      <c r="G80" s="7" t="s">
        <v>210</v>
      </c>
      <c r="H80" s="10" t="s">
        <v>253</v>
      </c>
      <c r="I80" s="12">
        <v>441555005</v>
      </c>
      <c r="J80" s="44" t="s">
        <v>235</v>
      </c>
      <c r="K80" s="11">
        <f>1100*4.85+380*4.44</f>
        <v>7022.2</v>
      </c>
      <c r="L80" s="28">
        <f>1100*4.85+380*4.44</f>
        <v>7022.2</v>
      </c>
      <c r="M80" s="47" t="s">
        <v>63</v>
      </c>
    </row>
    <row r="81" spans="1:13" ht="26.25" customHeight="1" thickBot="1" x14ac:dyDescent="0.3">
      <c r="A81" s="19" t="s">
        <v>12</v>
      </c>
      <c r="B81" s="20" t="s">
        <v>132</v>
      </c>
      <c r="C81" s="21">
        <v>33600000</v>
      </c>
      <c r="D81" s="22" t="s">
        <v>280</v>
      </c>
      <c r="E81" s="23" t="s">
        <v>19</v>
      </c>
      <c r="F81" s="21">
        <v>200000442</v>
      </c>
      <c r="G81" s="21" t="s">
        <v>211</v>
      </c>
      <c r="H81" s="24" t="s">
        <v>254</v>
      </c>
      <c r="I81" s="25">
        <v>210140901</v>
      </c>
      <c r="J81" s="21" t="s">
        <v>236</v>
      </c>
      <c r="K81" s="26">
        <f>100*16</f>
        <v>1600</v>
      </c>
      <c r="L81" s="42">
        <f>100*16</f>
        <v>1600</v>
      </c>
      <c r="M81" s="43" t="s">
        <v>22</v>
      </c>
    </row>
  </sheetData>
  <autoFilter ref="A7:O81"/>
  <mergeCells count="30">
    <mergeCell ref="A1:M6"/>
    <mergeCell ref="G51:G52"/>
    <mergeCell ref="G59:G61"/>
    <mergeCell ref="G71:G72"/>
    <mergeCell ref="J51:J52"/>
    <mergeCell ref="J59:J61"/>
    <mergeCell ref="J71:J72"/>
    <mergeCell ref="H51:H52"/>
    <mergeCell ref="H59:H61"/>
    <mergeCell ref="H71:H72"/>
    <mergeCell ref="F51:F52"/>
    <mergeCell ref="F59:F61"/>
    <mergeCell ref="F71:F72"/>
    <mergeCell ref="B51:B52"/>
    <mergeCell ref="B59:B61"/>
    <mergeCell ref="B71:B72"/>
    <mergeCell ref="A59:A61"/>
    <mergeCell ref="A51:A52"/>
    <mergeCell ref="A71:A72"/>
    <mergeCell ref="E51:E52"/>
    <mergeCell ref="E59:E61"/>
    <mergeCell ref="E71:E72"/>
    <mergeCell ref="D59:D61"/>
    <mergeCell ref="D71:D72"/>
    <mergeCell ref="M71:M72"/>
    <mergeCell ref="I51:I52"/>
    <mergeCell ref="I59:I61"/>
    <mergeCell ref="I71:I72"/>
    <mergeCell ref="M51:M52"/>
    <mergeCell ref="M59:M61"/>
  </mergeCells>
  <pageMargins left="0.12" right="0.16" top="0.27" bottom="0.28000000000000003" header="0.31496062992126" footer="0.38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Iremadze</cp:lastModifiedBy>
  <cp:lastPrinted>2021-07-09T07:38:35Z</cp:lastPrinted>
  <dcterms:created xsi:type="dcterms:W3CDTF">2017-07-07T16:06:57Z</dcterms:created>
  <dcterms:modified xsi:type="dcterms:W3CDTF">2021-07-09T09:33:32Z</dcterms:modified>
</cp:coreProperties>
</file>