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2014" sheetId="1" r:id="rId1"/>
    <sheet name="2015 Ikv." sheetId="4" r:id="rId2"/>
    <sheet name="2015 All" sheetId="5" r:id="rId3"/>
  </sheets>
  <externalReferences>
    <externalReference r:id="rId4"/>
  </externalReferences>
  <definedNames>
    <definedName name="_xlnm._FilterDatabase" localSheetId="2" hidden="1">'2015 All'!$A$10:$O$174</definedName>
    <definedName name="_xlnm.Print_Area" localSheetId="2">'2015 All'!$A$1:$N$174</definedName>
  </definedNames>
  <calcPr calcId="152511"/>
</workbook>
</file>

<file path=xl/calcChain.xml><?xml version="1.0" encoding="utf-8"?>
<calcChain xmlns="http://schemas.openxmlformats.org/spreadsheetml/2006/main">
  <c r="C12" i="5" l="1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1" i="5"/>
  <c r="L173" i="5" l="1"/>
  <c r="K173" i="5"/>
  <c r="K162" i="5"/>
  <c r="M157" i="5"/>
  <c r="M152" i="5"/>
  <c r="M150" i="5"/>
  <c r="K145" i="5"/>
  <c r="M141" i="5"/>
  <c r="M137" i="5"/>
  <c r="M134" i="5"/>
  <c r="M133" i="5"/>
  <c r="K133" i="5"/>
  <c r="M132" i="5"/>
  <c r="M131" i="5"/>
  <c r="K131" i="5"/>
  <c r="M128" i="5"/>
  <c r="M127" i="5"/>
  <c r="M125" i="5"/>
  <c r="M123" i="5"/>
  <c r="M121" i="5"/>
  <c r="M118" i="5"/>
  <c r="K118" i="5"/>
  <c r="K117" i="5"/>
  <c r="M115" i="5"/>
  <c r="K115" i="5"/>
  <c r="M113" i="5"/>
  <c r="M111" i="5"/>
  <c r="M110" i="5"/>
  <c r="M109" i="5"/>
  <c r="M107" i="5"/>
  <c r="K107" i="5"/>
  <c r="M106" i="5"/>
  <c r="K106" i="5"/>
  <c r="M105" i="5"/>
  <c r="L105" i="5"/>
  <c r="M104" i="5"/>
  <c r="M103" i="5"/>
  <c r="L103" i="5"/>
  <c r="M102" i="5"/>
  <c r="L102" i="5"/>
  <c r="M101" i="5"/>
  <c r="L96" i="5"/>
  <c r="K96" i="5"/>
  <c r="M95" i="5"/>
  <c r="M87" i="5"/>
  <c r="M86" i="5"/>
  <c r="M83" i="5"/>
  <c r="K83" i="5"/>
  <c r="M82" i="5"/>
  <c r="M81" i="5"/>
  <c r="M78" i="5"/>
  <c r="K78" i="5"/>
  <c r="M77" i="5"/>
  <c r="K77" i="5"/>
  <c r="M76" i="5"/>
  <c r="M75" i="5"/>
  <c r="M74" i="5"/>
  <c r="L74" i="5"/>
  <c r="M73" i="5"/>
  <c r="M72" i="5"/>
  <c r="M71" i="5"/>
  <c r="M70" i="5"/>
  <c r="M69" i="5"/>
  <c r="M68" i="5"/>
  <c r="L65" i="5"/>
  <c r="M64" i="5"/>
  <c r="L64" i="5"/>
  <c r="M62" i="5"/>
  <c r="M57" i="5"/>
  <c r="M50" i="5"/>
  <c r="M49" i="5"/>
  <c r="K48" i="5"/>
  <c r="M43" i="5"/>
  <c r="M42" i="5"/>
  <c r="L42" i="5"/>
  <c r="M41" i="5"/>
  <c r="M40" i="5"/>
  <c r="M37" i="5"/>
  <c r="M36" i="5"/>
  <c r="L36" i="5"/>
  <c r="M30" i="5"/>
  <c r="M29" i="5"/>
  <c r="M28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O39" i="4" l="1"/>
  <c r="O17" i="4"/>
  <c r="O42" i="4"/>
  <c r="O44" i="4"/>
  <c r="O36" i="4"/>
  <c r="O34" i="4"/>
  <c r="O29" i="4"/>
  <c r="N28" i="4"/>
  <c r="N12" i="4"/>
  <c r="O6" i="4"/>
  <c r="O4" i="4"/>
  <c r="M155" i="1" l="1"/>
  <c r="M142" i="1"/>
  <c r="O161" i="1"/>
  <c r="O163" i="1"/>
  <c r="O156" i="1"/>
  <c r="O133" i="1"/>
  <c r="O131" i="1"/>
  <c r="O171" i="1"/>
  <c r="O166" i="1"/>
  <c r="O169" i="1"/>
  <c r="O119" i="1" l="1"/>
  <c r="O118" i="1"/>
  <c r="O116" i="1"/>
  <c r="O111" i="1"/>
  <c r="O110" i="1"/>
  <c r="O109" i="1"/>
  <c r="O99" i="1"/>
  <c r="O94" i="1"/>
  <c r="O91" i="1"/>
  <c r="M88" i="1"/>
  <c r="M85" i="1"/>
  <c r="O83" i="1"/>
  <c r="O77" i="1"/>
  <c r="O76" i="1"/>
  <c r="O75" i="1"/>
  <c r="O71" i="1"/>
  <c r="O70" i="1"/>
  <c r="M70" i="1"/>
  <c r="O62" i="1"/>
  <c r="O59" i="1"/>
  <c r="O53" i="1"/>
  <c r="O50" i="1"/>
  <c r="O46" i="1"/>
  <c r="O44" i="1"/>
  <c r="O41" i="1"/>
  <c r="O39" i="1"/>
  <c r="O36" i="1"/>
  <c r="O35" i="1"/>
  <c r="O34" i="1"/>
  <c r="M31" i="1"/>
  <c r="M28" i="1"/>
  <c r="M24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<sst xmlns="http://schemas.openxmlformats.org/spreadsheetml/2006/main" count="2767" uniqueCount="875">
  <si>
    <t xml:space="preserve">დაფინანსების წყარო </t>
  </si>
  <si>
    <t>პროექტი</t>
  </si>
  <si>
    <t>დანაყოფის cpv კოდი</t>
  </si>
  <si>
    <t>შესყიდვის ობიექტი</t>
  </si>
  <si>
    <t>შესყიდვის საშუალება</t>
  </si>
  <si>
    <t>ტენდერის ნომერი</t>
  </si>
  <si>
    <t>ხელშეკრულების ნომერი</t>
  </si>
  <si>
    <t>მიმწოდებელი</t>
  </si>
  <si>
    <t>ს/კ</t>
  </si>
  <si>
    <t>ხელშეკრულების მოქმედების ვადა</t>
  </si>
  <si>
    <t>სახელშეკრულებო თანხა</t>
  </si>
  <si>
    <t>გადარიცხული თანხები</t>
  </si>
  <si>
    <t>GEO-T-NCDC</t>
  </si>
  <si>
    <t>გამარტივებული შესყიდვა</t>
  </si>
  <si>
    <t>01.04.2014</t>
  </si>
  <si>
    <t>GEO-H-NCDC</t>
  </si>
  <si>
    <t>21.05.2014</t>
  </si>
  <si>
    <t>GEO-H-NCDC/SR-1</t>
  </si>
  <si>
    <t>GEO-H-NCDC/SR-2</t>
  </si>
  <si>
    <t>GEO-H-NCDC/SR-3</t>
  </si>
  <si>
    <t>GEO-H-NCDC/SR-4</t>
  </si>
  <si>
    <t>GEO-H-NCDC/SR-5</t>
  </si>
  <si>
    <t>28.05.2014</t>
  </si>
  <si>
    <t>GEO-H-NCDC/SR-6</t>
  </si>
  <si>
    <t>30.09.2014</t>
  </si>
  <si>
    <t>GEO-H-NCDC/SR-1.1</t>
  </si>
  <si>
    <t>GEO-H-NCDC/SR-2.1</t>
  </si>
  <si>
    <t>GEO-H-NCDC/SR-3.1</t>
  </si>
  <si>
    <t>GEO-H-NCDC/SR-5.1</t>
  </si>
  <si>
    <t>GEO-H-NCDC/SR-6.1</t>
  </si>
  <si>
    <t>GEO-H-NCDC/SR-4.1</t>
  </si>
  <si>
    <t>GEO-H-NCDC/SR-1.2</t>
  </si>
  <si>
    <t>GEO-H-NCDC/SR-2.2</t>
  </si>
  <si>
    <t>GEO-H-NCDC/SR-5.2</t>
  </si>
  <si>
    <t>GEO-H-NCDC/SR-3.2</t>
  </si>
  <si>
    <t>GEO-H-NCDC/SR-6.2</t>
  </si>
  <si>
    <t>31,12,2014</t>
  </si>
  <si>
    <t>Geo-T-NCDC/SR-1.1</t>
  </si>
  <si>
    <t>საფოსტო/საკურიერო მომსახურება</t>
  </si>
  <si>
    <t>25.04.2014</t>
  </si>
  <si>
    <t>GF-T/SSP/S-01</t>
  </si>
  <si>
    <t>შპს ჯორჯიან ექსპრესი</t>
  </si>
  <si>
    <t>პორტატლი კომპიუტერები</t>
  </si>
  <si>
    <t>კონსოლიდირებული ტენდერი</t>
  </si>
  <si>
    <t>30.04.2014</t>
  </si>
  <si>
    <t>GF-T/CON/G-02</t>
  </si>
  <si>
    <t>შპს იუ-ჯი-თი</t>
  </si>
  <si>
    <t>ოფიფის სარემონტო სამუშაოები</t>
  </si>
  <si>
    <t xml:space="preserve">გამარტივებული ელექტრონული ტენდერი </t>
  </si>
  <si>
    <t>13.05.2014</t>
  </si>
  <si>
    <t>GF-T/SET/CW-03</t>
  </si>
  <si>
    <t>შპს ჩუბინი</t>
  </si>
  <si>
    <t>საბეჭდი ქაღალდი</t>
  </si>
  <si>
    <t>19.05.2014</t>
  </si>
  <si>
    <t>GF-T/CON/S-04</t>
  </si>
  <si>
    <t>შპს გიორგი კანდელაკი - ვესტა</t>
  </si>
  <si>
    <t>GEO-T-H-NCDC</t>
  </si>
  <si>
    <t>მობილური ოპერატორის მომსახურება</t>
  </si>
  <si>
    <t>22.05.2014</t>
  </si>
  <si>
    <t>GF-T-H/CT/S-05</t>
  </si>
  <si>
    <t>შპს მაგთიკომი</t>
  </si>
  <si>
    <t>საოფისე კომპიუტერები</t>
  </si>
  <si>
    <t>27.05.2014</t>
  </si>
  <si>
    <t>GF-T/CT/G-06</t>
  </si>
  <si>
    <t>შპს ალგორითმი</t>
  </si>
  <si>
    <t>საკანცელარიო საქონელი</t>
  </si>
  <si>
    <t>02.06.2014</t>
  </si>
  <si>
    <t>GF-T/SSP/G-07</t>
  </si>
  <si>
    <t>შპს პასა</t>
  </si>
  <si>
    <t>GF-T-H/SSP/G-08</t>
  </si>
  <si>
    <t>სათარჯიმნო და სანოტარო მომსახურება</t>
  </si>
  <si>
    <t>GF-T-H/SSP/S-09</t>
  </si>
  <si>
    <t>შპს ტრადოსი</t>
  </si>
  <si>
    <t>04.07.2014</t>
  </si>
  <si>
    <t>GF-T/SSP/S-10</t>
  </si>
  <si>
    <t>ტვირთის გადაზიდვის მომსახურება</t>
  </si>
  <si>
    <t>07.07.2014</t>
  </si>
  <si>
    <t>GF-T/SET/S-11</t>
  </si>
  <si>
    <t>შპს თელა</t>
  </si>
  <si>
    <t>დიზელის საწვავი</t>
  </si>
  <si>
    <t>GF-H/CON/G-12</t>
  </si>
  <si>
    <t>შპს რომპეტროლ საქართველო</t>
  </si>
  <si>
    <t>ბენზინი</t>
  </si>
  <si>
    <t>08.07.2014</t>
  </si>
  <si>
    <t>GF-T/CON/G-13</t>
  </si>
  <si>
    <t>შპს ლუკოილ-ჯორჯია</t>
  </si>
  <si>
    <t>GF-H/CON/G-14</t>
  </si>
  <si>
    <t>საკვები პროდუქტების შესყიდვა</t>
  </si>
  <si>
    <t>GF-H/SSP/G-15</t>
  </si>
  <si>
    <t>შპს ზღაპარი</t>
  </si>
  <si>
    <t>GF-T/CON/G-16</t>
  </si>
  <si>
    <t>25.07.2014</t>
  </si>
  <si>
    <t>GF-T/SSP/G-17</t>
  </si>
  <si>
    <t>შპს ბორჯომი ვოთერსი</t>
  </si>
  <si>
    <t>GF-H/SET/S-18</t>
  </si>
  <si>
    <t>შპს ჯეო ქარტა</t>
  </si>
  <si>
    <t>12.08.2014</t>
  </si>
  <si>
    <t>GF-H/SSP/S-19</t>
  </si>
  <si>
    <t>შპს ლასარე</t>
  </si>
  <si>
    <t>15.08.2014</t>
  </si>
  <si>
    <t>GF-T/SSP/S-20</t>
  </si>
  <si>
    <t>ვებ გვერდის შექმნა</t>
  </si>
  <si>
    <t>29.08.2014</t>
  </si>
  <si>
    <t>GF-T/SSP/S -21</t>
  </si>
  <si>
    <t>ფ.პ. ცოტნე კალანდაძე</t>
  </si>
  <si>
    <t>GF-H/SET/G-22</t>
  </si>
  <si>
    <t xml:space="preserve">სს "ჯი პი სი" </t>
  </si>
  <si>
    <t>GF-T/SSP/G-23</t>
  </si>
  <si>
    <t>შპს სუპერი</t>
  </si>
  <si>
    <t>GF-H/ET/G-24</t>
  </si>
  <si>
    <t>შპს გეა</t>
  </si>
  <si>
    <t>08.09.2014</t>
  </si>
  <si>
    <t>GF-H/SSP/G-25</t>
  </si>
  <si>
    <t>შპს ეიბისი ფარმაცია</t>
  </si>
  <si>
    <t>GF-T/SSP/G-26</t>
  </si>
  <si>
    <t>GF-T/SSP/G-27</t>
  </si>
  <si>
    <t>შპს ავერსი-ფარმა</t>
  </si>
  <si>
    <t>GF-T/SSP/G-28</t>
  </si>
  <si>
    <t>შპს პსპ ფარმა</t>
  </si>
  <si>
    <t>GF-T/SSP/G-29</t>
  </si>
  <si>
    <t>GF-H/SSP/S-30</t>
  </si>
  <si>
    <t>შპს GT Group</t>
  </si>
  <si>
    <t>GF-H/SSP/G-31</t>
  </si>
  <si>
    <t>08.09.2104</t>
  </si>
  <si>
    <t>GF-T/SSP/G-32</t>
  </si>
  <si>
    <t>GF-H/SSP/G-33</t>
  </si>
  <si>
    <t>შპს პანეტერია</t>
  </si>
  <si>
    <t>10.09.2014</t>
  </si>
  <si>
    <t>GF-T/ET/G-34</t>
  </si>
  <si>
    <t>შპს "პსპ ფარმა"</t>
  </si>
  <si>
    <t>GF-H/ET/G-35</t>
  </si>
  <si>
    <t>24.09.2014</t>
  </si>
  <si>
    <t>GF-H/ET/G-36</t>
  </si>
  <si>
    <t>შპს "ირისე"</t>
  </si>
  <si>
    <t>GF-T/ET/G-37</t>
  </si>
  <si>
    <t>GF-T/SET/G-38</t>
  </si>
  <si>
    <t>შპს "ალფალაბი"</t>
  </si>
  <si>
    <t>პარკირების საფასური</t>
  </si>
  <si>
    <t>01.10.2014</t>
  </si>
  <si>
    <t xml:space="preserve">GF-H/SSP/S-39 </t>
  </si>
  <si>
    <t>შპს "სიტი პარკი"</t>
  </si>
  <si>
    <t>03.10.2014</t>
  </si>
  <si>
    <t>GF-H/ET/G-40</t>
  </si>
  <si>
    <t>შპს "MDS"</t>
  </si>
  <si>
    <t>06.10.2014</t>
  </si>
  <si>
    <t>GF-H/ET/G-41</t>
  </si>
  <si>
    <t>07.10.2014</t>
  </si>
  <si>
    <t>GF-H/ET/G-42</t>
  </si>
  <si>
    <t>შპს "მედიკალ დიაგნოსტიკი"</t>
  </si>
  <si>
    <t>08.10.2014</t>
  </si>
  <si>
    <t>GF-H/ET/G-43</t>
  </si>
  <si>
    <t>GF-H/ET/G-44</t>
  </si>
  <si>
    <t>GF-T/ET/G-45</t>
  </si>
  <si>
    <t>შპს "პრიმამედი"</t>
  </si>
  <si>
    <t>GF-T/ET/G-46</t>
  </si>
  <si>
    <t>GF-T/ET/G-47</t>
  </si>
  <si>
    <t>შპს "ლაბმეითი"</t>
  </si>
  <si>
    <t>09.10.2014</t>
  </si>
  <si>
    <t>GF-H/ET/G-48</t>
  </si>
  <si>
    <t>GF-T/ET/G-49</t>
  </si>
  <si>
    <t>შპს "ეი ბი სი ფარმაცია"</t>
  </si>
  <si>
    <t>GF-H/ET/G-50</t>
  </si>
  <si>
    <t>10.10.2014</t>
  </si>
  <si>
    <t>GF-T/ET/G-51</t>
  </si>
  <si>
    <t>GF-T/ET/G-52</t>
  </si>
  <si>
    <t>GEO-H-T-NCDC</t>
  </si>
  <si>
    <t>13.10.2014</t>
  </si>
  <si>
    <t>GF-H-T/ET/G-53</t>
  </si>
  <si>
    <t>შპს "ექსპრესდიაგნოსტიკა"</t>
  </si>
  <si>
    <t>15.10.2014</t>
  </si>
  <si>
    <t>GF-H/ET/G-54</t>
  </si>
  <si>
    <t>GF-H/ET/G-55</t>
  </si>
  <si>
    <t>GF-T/SSP/G-56</t>
  </si>
  <si>
    <t>IDA</t>
  </si>
  <si>
    <t>16.10.2014</t>
  </si>
  <si>
    <t>GF-T/SSP/G-57</t>
  </si>
  <si>
    <t>17.10.2014</t>
  </si>
  <si>
    <t>GF-T/SSP/S-58</t>
  </si>
  <si>
    <t>20.10.2014</t>
  </si>
  <si>
    <t>GF-T/SSP/S-59</t>
  </si>
  <si>
    <t>Jobs.ge</t>
  </si>
  <si>
    <t>GF-T/SSP/S-60</t>
  </si>
  <si>
    <t>შპს "კარგო სერვისი"</t>
  </si>
  <si>
    <t>23.10.2014</t>
  </si>
  <si>
    <t>GF-T/ET/G-61</t>
  </si>
  <si>
    <t>შპს "კორამედი"</t>
  </si>
  <si>
    <t>GF-H/SET/S-62</t>
  </si>
  <si>
    <t>შპს "ჯეო პრინტი"</t>
  </si>
  <si>
    <t>GF-H/SSP/G-63</t>
  </si>
  <si>
    <t>შპს "იუ ჯი თი"</t>
  </si>
  <si>
    <t>24.10.2014</t>
  </si>
  <si>
    <t>GF-T/SSP/G-64</t>
  </si>
  <si>
    <t>შპს "GASA"</t>
  </si>
  <si>
    <t>GF-T/SSP/G-65</t>
  </si>
  <si>
    <t>GF-T/SSP/G-66</t>
  </si>
  <si>
    <t>GF-T/ET/G-67</t>
  </si>
  <si>
    <t>30.10.2014</t>
  </si>
  <si>
    <t>GF-H/SET/G-68</t>
  </si>
  <si>
    <t>შპს "კანც პაპერი"</t>
  </si>
  <si>
    <t>31.10.2014</t>
  </si>
  <si>
    <t>GF-T/SSP/S-69</t>
  </si>
  <si>
    <t>03.11.2014</t>
  </si>
  <si>
    <t>GF-T/ET/G-70</t>
  </si>
  <si>
    <t>შპს "მედიქალ ბიოს ჯორჯია"</t>
  </si>
  <si>
    <t>GF-T/SSP/S-71</t>
  </si>
  <si>
    <t>ფ.პ. თამარ ჯიბუტი</t>
  </si>
  <si>
    <t>GF-T-H/SSP/G-72</t>
  </si>
  <si>
    <t>შპს "თეგეტა მოტორსი"</t>
  </si>
  <si>
    <t>GF-H/SSP/S-73</t>
  </si>
  <si>
    <t>GF-T/SSP/S-74</t>
  </si>
  <si>
    <t>ფ.პ. გურამ ჯავახაძე</t>
  </si>
  <si>
    <t>05.11.2014</t>
  </si>
  <si>
    <t>GF-T/SSP/G-75</t>
  </si>
  <si>
    <t>GF-T/SSP/G-76</t>
  </si>
  <si>
    <t>06.11.2014</t>
  </si>
  <si>
    <t>GF-T/SSP/G-77</t>
  </si>
  <si>
    <t>GF-H/SSP/G-78</t>
  </si>
  <si>
    <t>შპს ვისოლ ავტო ექსპრეტი</t>
  </si>
  <si>
    <t>GF-H/SSP/G-79</t>
  </si>
  <si>
    <t>GF-T/SSP/S-80</t>
  </si>
  <si>
    <t xml:space="preserve"> ვალერიუ კრუდუ</t>
  </si>
  <si>
    <t>GF-T/SSP/S-81</t>
  </si>
  <si>
    <t>საფარალი ნაიმოვთანი</t>
  </si>
  <si>
    <t>GF-T/SSP/S-82</t>
  </si>
  <si>
    <t>ვიქტორ სპინუს</t>
  </si>
  <si>
    <t>GF-T/SSP/S-83</t>
  </si>
  <si>
    <t>არაქსია ჰოვანესიანი</t>
  </si>
  <si>
    <t>GF-T/SSP/S-84</t>
  </si>
  <si>
    <t>ჟაბოლტს ჟიგეტი</t>
  </si>
  <si>
    <t>GF-T/SSP/S-85</t>
  </si>
  <si>
    <t>საიოჰატ ჰასანოვი</t>
  </si>
  <si>
    <t>GF-T/SSP/S-86</t>
  </si>
  <si>
    <t>შპს გიორგი</t>
  </si>
  <si>
    <t>ლაბორატორიული სახარჯი მასალები - ერთჯერადი ხელთათმანები</t>
  </si>
  <si>
    <t>10.11.2014</t>
  </si>
  <si>
    <t>GF-T/ET/G-87</t>
  </si>
  <si>
    <t>შპს "ლატეკი"</t>
  </si>
  <si>
    <t>11.11.2014</t>
  </si>
  <si>
    <t>GF-H/ET/G-88</t>
  </si>
  <si>
    <t>GF-H/ET/G-89</t>
  </si>
  <si>
    <t>GF-H/SSP/S-90</t>
  </si>
  <si>
    <t>შპს "სერვ.ჯი"</t>
  </si>
  <si>
    <t>GF T-H/SSP/S-91</t>
  </si>
  <si>
    <t>მომსახურების სააგენტო</t>
  </si>
  <si>
    <t>20,11,2014</t>
  </si>
  <si>
    <t>GF-H/ET/G-92</t>
  </si>
  <si>
    <t>შპს მედიქალ დიაგნოსტიკი</t>
  </si>
  <si>
    <t>25,11,2014</t>
  </si>
  <si>
    <t>GF-H/SST/S-93</t>
  </si>
  <si>
    <t xml:space="preserve">ს.ს. „გამოფენების ცენტრი“ </t>
  </si>
  <si>
    <t>GF-H/ET/G-94</t>
  </si>
  <si>
    <t>შპს "მირკო"</t>
  </si>
  <si>
    <t>GF-H/ET/G-95</t>
  </si>
  <si>
    <t>01,12,2014</t>
  </si>
  <si>
    <t>GF-T/ET/G-96</t>
  </si>
  <si>
    <t>შპს "ჰუმან დიაგონსოტიკა"</t>
  </si>
  <si>
    <t>02,12,2014</t>
  </si>
  <si>
    <t>GF-T/ET/G-97</t>
  </si>
  <si>
    <t>03,12,2014</t>
  </si>
  <si>
    <t>GF-H/ET/G-98</t>
  </si>
  <si>
    <t>შპს "ბიო-მედი"</t>
  </si>
  <si>
    <t>GF-T/SSP/G-98/1</t>
  </si>
  <si>
    <t>შპს "კომტეკი"</t>
  </si>
  <si>
    <t>09,12,2014</t>
  </si>
  <si>
    <t>GF-T/SSP/G-99</t>
  </si>
  <si>
    <t>Cepheid</t>
  </si>
  <si>
    <t>22,12,2014</t>
  </si>
  <si>
    <t>GF-T/SSP/S-100</t>
  </si>
  <si>
    <t>შპს "ტრადოსი"</t>
  </si>
  <si>
    <t>23,12,2014</t>
  </si>
  <si>
    <t>GF-T/SSP/G-101</t>
  </si>
  <si>
    <t>შპს "ძმები"</t>
  </si>
  <si>
    <t>24,12,2014</t>
  </si>
  <si>
    <t>GF-T/SSP/G-102</t>
  </si>
  <si>
    <t>26,12,2014</t>
  </si>
  <si>
    <t>GF-H/SSP/G-103</t>
  </si>
  <si>
    <t>საყოფაცხოვრებო ტექნიკა</t>
  </si>
  <si>
    <t>29,12,2014</t>
  </si>
  <si>
    <t>GF-T-SSP-G-105</t>
  </si>
  <si>
    <t>სს ელიტელექტრონიქსი</t>
  </si>
  <si>
    <t>გრანტი</t>
  </si>
  <si>
    <t>სამედიცინო მომსახურება</t>
  </si>
  <si>
    <t>GEO-T-NCDC/SR-1</t>
  </si>
  <si>
    <t>ელექტრონული ტენდერი</t>
  </si>
  <si>
    <t>01009005243</t>
  </si>
  <si>
    <t>01031005390</t>
  </si>
  <si>
    <t>0243260342</t>
  </si>
  <si>
    <t>01008057663</t>
  </si>
  <si>
    <t>0981102034929</t>
  </si>
  <si>
    <t>T585767</t>
  </si>
  <si>
    <t>1561225400290</t>
  </si>
  <si>
    <t>001119056146</t>
  </si>
  <si>
    <t>BB1921008</t>
  </si>
  <si>
    <t>2020684071000000000</t>
  </si>
  <si>
    <t>FR26512057993</t>
  </si>
  <si>
    <t xml:space="preserve">ელექტრონული ტენდერი </t>
  </si>
  <si>
    <t>31,01,2015</t>
  </si>
  <si>
    <t>31,10,2014</t>
  </si>
  <si>
    <t>02,12,2015</t>
  </si>
  <si>
    <t>31,01,2016</t>
  </si>
  <si>
    <t>31,07,2016</t>
  </si>
  <si>
    <t>სს „ტუბერკულოზისა და ფილტვის დაავადებათა ეროვნული ცენტრი“</t>
  </si>
  <si>
    <t>სს „ინფექციური პათოლოგიის, შიდსის და კლინიკური იმუნოლოგიის ს/პ ცენტრი“</t>
  </si>
  <si>
    <t>ა(ა)იპ “ზიანის შემცირების საქართველოს ქსელი”</t>
  </si>
  <si>
    <t>ა(ა)იპ “შიდსით დაავადებულთა დახმარების ფონდი”</t>
  </si>
  <si>
    <t>ა(ა)იპ „საერთაშორისო ფონდი კურაციო”</t>
  </si>
  <si>
    <t>ა(ა)იპ "საინფორმაციო სამედიცინო-ფსიქოლოგიური ცენტრი "თანადგომა”</t>
  </si>
  <si>
    <t>შპს „ფსიქიკური ჯანმრთელობის და ნარკომანიის პრევენციის ცენტრი“</t>
  </si>
  <si>
    <t>09100000</t>
  </si>
  <si>
    <t>09200000</t>
  </si>
  <si>
    <t>79400000</t>
  </si>
  <si>
    <t>72400000</t>
  </si>
  <si>
    <t>საკვები პროდუქტები</t>
  </si>
  <si>
    <t>მიერალური, არაგაზირებული წყალი</t>
  </si>
  <si>
    <t>პოლიგრაფიული მომსახურება</t>
  </si>
  <si>
    <t>საბაჟო/სატერმინალო მომსახურება</t>
  </si>
  <si>
    <t>მედიკამენტები - Peginterferon &amp; ribavirin</t>
  </si>
  <si>
    <t>ავეჯეულობა - საყოფაცხოვრებო ინვენტარი</t>
  </si>
  <si>
    <t>მედიკამენტები - Naloxon Hydrochloride</t>
  </si>
  <si>
    <t>მედიკამენტები</t>
  </si>
  <si>
    <t>საცხებ-საპოხი მასალა</t>
  </si>
  <si>
    <t>სასმელები, თამბაქო და მონათესავე პროდუქტები</t>
  </si>
  <si>
    <t>რესტორნებისა და საზოგადოებრივი კვების საწარმოების მომსახურებები</t>
  </si>
  <si>
    <t>მედიკამენტები - Rifampicin</t>
  </si>
  <si>
    <t>მედიკამენტები - Methadone hydrochloride</t>
  </si>
  <si>
    <r>
      <rPr>
        <sz val="8"/>
        <rFont val="Arial"/>
        <family val="2"/>
        <charset val="204"/>
      </rPr>
      <t>ტესტსისტემები CD4 2-</t>
    </r>
    <r>
      <rPr>
        <sz val="8"/>
        <rFont val="Sylfaen"/>
        <family val="2"/>
        <scheme val="major"/>
      </rPr>
      <t xml:space="preserve"> Coloured for fluorocytometry</t>
    </r>
    <r>
      <rPr>
        <sz val="8"/>
        <rFont val="AcadNusx"/>
      </rPr>
      <t xml:space="preserve">  </t>
    </r>
  </si>
  <si>
    <t>ტესტსისტემები (CD3/CD4/CD8/CD45)</t>
  </si>
  <si>
    <t>ვაქცინები - Flue Vaccine</t>
  </si>
  <si>
    <t xml:space="preserve">ტესტსისტემები HIVDR testsystems applicable for ABI 3500xL </t>
  </si>
  <si>
    <t>ვაქცინები - Hep A &amp; Pneumo Vaccine</t>
  </si>
  <si>
    <t>ვაქცინები - Hep B Vaccine</t>
  </si>
  <si>
    <t>ლაბორატო რეაგენტები - გოგირდმჟავა &amp; ეთანოლი</t>
  </si>
  <si>
    <t>ლაბორატო რეაგენტები - levenshtein &amp; midelbruk</t>
  </si>
  <si>
    <r>
      <rPr>
        <sz val="8"/>
        <rFont val="Times New Roman"/>
        <family val="1"/>
        <charset val="204"/>
      </rPr>
      <t>ტესტ-სისტემები HIVDR testsystems TruGene OpenGene DNA Sequensing system</t>
    </r>
    <r>
      <rPr>
        <sz val="8"/>
        <rFont val="AcadNusx"/>
      </rPr>
      <t xml:space="preserve"> </t>
    </r>
  </si>
  <si>
    <t>მედიკამენტები - Side effect medicines</t>
  </si>
  <si>
    <t>ტესტ-სისტემები EasyMag</t>
  </si>
  <si>
    <t>მედიკამენტები Side effect medicines 
Pyridoxine Hydrochloride</t>
  </si>
  <si>
    <t>განცხადების გამოქვეყნების ხარჯი</t>
  </si>
  <si>
    <t>ლაბ. რეაქტივები</t>
  </si>
  <si>
    <t>ავია ბილეთების ღირებულება</t>
  </si>
  <si>
    <t>თარჯიმნის მომსახურება</t>
  </si>
  <si>
    <t>ავტომობილის სათადარიგო ნაწილები - საბურავები</t>
  </si>
  <si>
    <t>ავტო ტექ. მომსახურება</t>
  </si>
  <si>
    <t>ავტომობილის სათადარიგო ნაწილები - აკუმულატორი</t>
  </si>
  <si>
    <t>საექსპერტო-საკონსულტაციო მომსახურება</t>
  </si>
  <si>
    <t>სამედიცინო სახარჯი მასალა - შპრიცები 2mg. &amp; 3mg.</t>
  </si>
  <si>
    <t>სამედიცინო სახარჯი მასალა - შპრიცები 5mg. &amp; 10mg. &amp; 20mg.</t>
  </si>
  <si>
    <t>დომეინის მომსახურება</t>
  </si>
  <si>
    <t>ავტომობილების გაფორმების ხარჯი</t>
  </si>
  <si>
    <t>ტესტსისტემები Real Time PCR System “Abbott m2000”</t>
  </si>
  <si>
    <t>ტესტსისტემები Real time HIV PCR quantitative test-kits and reagents applicable to Cobas TaqMen 48</t>
  </si>
  <si>
    <t>ჰიგიენური საშუალებები - Condoms</t>
  </si>
  <si>
    <t>ტესტსისტემები Chlamidya DFA</t>
  </si>
  <si>
    <t>ელექტრო საქონელი -დამაგრძელებელი</t>
  </si>
  <si>
    <t>სამედიცინო აპარატურა GeneXpert</t>
  </si>
  <si>
    <t>სადეზინფექციო საშუალებები - ქლორინოლი</t>
  </si>
  <si>
    <t>სამედიცინო სახარჯი მასალა</t>
  </si>
  <si>
    <t>რეაგენტები - ფლუიდ პაკი</t>
  </si>
  <si>
    <t>რეაგენტები</t>
  </si>
  <si>
    <t xml:space="preserve">ტესტსისტემები </t>
  </si>
  <si>
    <t>ტესტსისტემები</t>
  </si>
  <si>
    <t xml:space="preserve">კომპიუტერული ტექნიკა </t>
  </si>
  <si>
    <t>კომპიუტერული ტექნიკა</t>
  </si>
  <si>
    <t xml:space="preserve">მიკროსკოპის სათადარიგო ნაწილები </t>
  </si>
  <si>
    <t xml:space="preserve">პრინტერის კარტრიჯები </t>
  </si>
  <si>
    <t>ლაბ. სახარჯი</t>
  </si>
  <si>
    <t xml:space="preserve">ბიოქომიური რეაქტივები </t>
  </si>
  <si>
    <t>ბიოქომიური რეაქტივები</t>
  </si>
  <si>
    <t>№</t>
  </si>
  <si>
    <t xml:space="preserve">გამარტივებული ელ. ტენდერი </t>
  </si>
  <si>
    <t>ტრეინინგი</t>
  </si>
  <si>
    <t>02.02.2015-30,11,2015</t>
  </si>
  <si>
    <t>GEO-H-NCDC/SR-7</t>
  </si>
  <si>
    <t>ადვოკატირება</t>
  </si>
  <si>
    <t>19,02,2015-30,11,2015</t>
  </si>
  <si>
    <t>GEO-H-NCDC/SR-8</t>
  </si>
  <si>
    <t>ა(ა)იპ “რეალური ხალხი, რეალური ხედვა"</t>
  </si>
  <si>
    <t>ლგბტ თემის გაძლიერება</t>
  </si>
  <si>
    <t>25,02,2015-31,01,2016</t>
  </si>
  <si>
    <t>GEO-H-NCDC/SR-9</t>
  </si>
  <si>
    <t>HIV თემის გაძლიერება</t>
  </si>
  <si>
    <t>06.03.2015 - 31.12.2015</t>
  </si>
  <si>
    <t>GEO-H-NCDC/SR-10</t>
  </si>
  <si>
    <t>091</t>
  </si>
  <si>
    <t>დიზელი</t>
  </si>
  <si>
    <t>GF-H/CON/G-106</t>
  </si>
  <si>
    <t>GF-H/CON/G-107</t>
  </si>
  <si>
    <t>GF-H-T/CON/G-108</t>
  </si>
  <si>
    <t>GF-H/SSP/S-109</t>
  </si>
  <si>
    <t>GF-T/SSP/S-110</t>
  </si>
  <si>
    <t>შპს "ლასარე"</t>
  </si>
  <si>
    <t>სადაზღვევო მომს. AUTO</t>
  </si>
  <si>
    <t>GF-H/SSP/S-111</t>
  </si>
  <si>
    <t>შპს სადაზღვევო კომპანია ქართუ</t>
  </si>
  <si>
    <t>GF-T/SSP/S-112</t>
  </si>
  <si>
    <t xml:space="preserve">GF-T/SSP/S-113 </t>
  </si>
  <si>
    <t>შპს სერვ.ჯი</t>
  </si>
  <si>
    <t>01.02.2015 - 01.03.2016</t>
  </si>
  <si>
    <t>GF-H-T/CON/S-114</t>
  </si>
  <si>
    <t>04.02.2015 - 01.05.2015</t>
  </si>
  <si>
    <t>GF-H/SSP/G-115</t>
  </si>
  <si>
    <t>შპს "უნიქოლორი"</t>
  </si>
  <si>
    <t>GF-T/SSP/G-116</t>
  </si>
  <si>
    <t>ჰიგიენური საშუალებები</t>
  </si>
  <si>
    <t>04.02.2015 - 31.03.2015</t>
  </si>
  <si>
    <t>GF-H/SSP/G-117</t>
  </si>
  <si>
    <t>საწმენდი და საპრიალებელი პროდუქტები</t>
  </si>
  <si>
    <t>GF-H/SSP/G-118</t>
  </si>
  <si>
    <t>ავტო-ტექ მომსახურება</t>
  </si>
  <si>
    <t xml:space="preserve">04.02.2015 - 01.05.2015  </t>
  </si>
  <si>
    <t>GF-H/SSP/S-119</t>
  </si>
  <si>
    <t>რესპირატორები სარქველით</t>
  </si>
  <si>
    <t>06.02.2015-01.05.2015</t>
  </si>
  <si>
    <t>GF-T/ET/G-120</t>
  </si>
  <si>
    <t>შპს "უნიმედი"</t>
  </si>
  <si>
    <t>06.02.2015 - 31.12.2015</t>
  </si>
  <si>
    <t>GF-H/SSP/S-121</t>
  </si>
  <si>
    <t>job.ge</t>
  </si>
  <si>
    <t>აუდიტორული მომსახურება</t>
  </si>
  <si>
    <t>09.02.2015-01.05.2015</t>
  </si>
  <si>
    <t>GF-T-H/SET/G-122</t>
  </si>
  <si>
    <t>შპს KPMG Georgia</t>
  </si>
  <si>
    <t xml:space="preserve">შპრიცები 1mg. (Insulin) </t>
  </si>
  <si>
    <t>19,02,2015-01.05.2015</t>
  </si>
  <si>
    <t>GF-H/SSP/G-123</t>
  </si>
  <si>
    <t>პეპელები</t>
  </si>
  <si>
    <t>GF-H/SSP/G-124</t>
  </si>
  <si>
    <t>ერთჯერადი ხალათები ტენდ. 7.2</t>
  </si>
  <si>
    <t>20,02,2015-01.05.2015</t>
  </si>
  <si>
    <t>GF-T/ET/G-125</t>
  </si>
  <si>
    <t>ავტომობილების რეცხვა</t>
  </si>
  <si>
    <t>20.02.2015 - 31.01.2016</t>
  </si>
  <si>
    <t>GF-H/SSP/S-126</t>
  </si>
  <si>
    <t>ი.მ. ნინო არჩვაძე</t>
  </si>
  <si>
    <t>01010017471</t>
  </si>
  <si>
    <t>27,02,2015-18,04,2015</t>
  </si>
  <si>
    <t>GF-T/SET/G-127</t>
  </si>
  <si>
    <t>27.02.2015-31,12,2015</t>
  </si>
  <si>
    <t>GF-H/SSP/S-128</t>
  </si>
  <si>
    <t>02.03.2015-31,12,2015</t>
  </si>
  <si>
    <t>GF-H/SSP/S-129</t>
  </si>
  <si>
    <t>092</t>
  </si>
  <si>
    <t>04,03,2015-01,05,2015</t>
  </si>
  <si>
    <t>GF-H/SSP/G-130</t>
  </si>
  <si>
    <t>შპს "ვისოლ ავტო სერვისი"</t>
  </si>
  <si>
    <t>UPS</t>
  </si>
  <si>
    <t>10.03.2015 - 01.06.2015</t>
  </si>
  <si>
    <t>GF-T/SET/G-131</t>
  </si>
  <si>
    <t>შპს "ორიენტ ლოჯიკი"</t>
  </si>
  <si>
    <t>chlamydia Hexagon</t>
  </si>
  <si>
    <t>GF-H/ET/G-132</t>
  </si>
  <si>
    <t>chlamydia IgG &amp; IgM</t>
  </si>
  <si>
    <t>GF-H/ET/G-133</t>
  </si>
  <si>
    <t>GF-H/SSP/G-134</t>
  </si>
  <si>
    <t>TB მედიკამენტ. გვ. ეფ. მართვისთვის</t>
  </si>
  <si>
    <t>19,03,2015-01,052015</t>
  </si>
  <si>
    <t>GF-T/SSP/G-135</t>
  </si>
  <si>
    <t>მედიკამენტები STI</t>
  </si>
  <si>
    <t>GF-H/SSP/G-136</t>
  </si>
  <si>
    <t>GF-T/SSP/G-137</t>
  </si>
  <si>
    <t>GF-H/SSP/G-138</t>
  </si>
  <si>
    <t>GF-T/SSP/G-139</t>
  </si>
  <si>
    <t>GF-H/SSP/G-140</t>
  </si>
  <si>
    <t>გადაზიდვის მომსახურება</t>
  </si>
  <si>
    <t>20,03,2015-31,01,2016</t>
  </si>
  <si>
    <t>GF-T-H/SET/S-141</t>
  </si>
  <si>
    <t>შპს "კარგო მარკეტი"</t>
  </si>
  <si>
    <t>25,03,2015-01,06,2015</t>
  </si>
  <si>
    <t>GF-H/SSP/G-142</t>
  </si>
  <si>
    <t>შპს "თბილისი პაკინგი"</t>
  </si>
  <si>
    <t>ერთჯერადი ჭიქები</t>
  </si>
  <si>
    <t>SPA &amp; CMR ნომერი</t>
  </si>
  <si>
    <t>10.03.2015 - 20.05.2015</t>
  </si>
  <si>
    <t>16.03.2015 - 31.12.2015</t>
  </si>
  <si>
    <t>16.03.2015 - 31.01.2016</t>
  </si>
  <si>
    <t>01.01.2015 - 31.12.2015</t>
  </si>
  <si>
    <t>15.01.2015 - 31.01.2016</t>
  </si>
  <si>
    <t>16.01.2015 - 31.12.2015</t>
  </si>
  <si>
    <t xml:space="preserve">20.01.2015 - 01.03.2016  </t>
  </si>
  <si>
    <t>21.01.2015 - 31.01.2016</t>
  </si>
  <si>
    <t>შესყ. გეგმა</t>
  </si>
  <si>
    <t>ხელშ. სტატუსი</t>
  </si>
  <si>
    <t>მიმდინარე</t>
  </si>
  <si>
    <t>შესრულებული</t>
  </si>
  <si>
    <t>პროექტი
(გრანტოს ნომერი)</t>
  </si>
  <si>
    <t>ხელშეკრულების 
ნომერი</t>
  </si>
  <si>
    <t>თანხა</t>
  </si>
  <si>
    <t>შენიშვნა</t>
  </si>
  <si>
    <t>28.11.2014 - 31.01.2016</t>
  </si>
  <si>
    <t>მრავალწლიანი შესყიდვა</t>
  </si>
  <si>
    <t>01.12.2014 - 31.01.2016</t>
  </si>
  <si>
    <t>30.09.2014 - 02.12.2015</t>
  </si>
  <si>
    <t>31.12.2014 - 31.07.2016</t>
  </si>
  <si>
    <t>საწვავი დიზელი</t>
  </si>
  <si>
    <t>GF-T/CON/G-107</t>
  </si>
  <si>
    <t>საწვავი ბენზინი</t>
  </si>
  <si>
    <t>სადაზღვევო მომსახურება</t>
  </si>
  <si>
    <t>06.02.2015 - 01.05.2015</t>
  </si>
  <si>
    <t>jobs.ge</t>
  </si>
  <si>
    <t>09.02.2015 - 01.05.2015</t>
  </si>
  <si>
    <t>GF-H/ET/G-123</t>
  </si>
  <si>
    <t>19,02,2015 - 01.05.2015</t>
  </si>
  <si>
    <t>ვენის კათეტერი - პეპლები</t>
  </si>
  <si>
    <t>GF-H/ET/G-124</t>
  </si>
  <si>
    <t xml:space="preserve">ერთჯერადი ხალათები </t>
  </si>
  <si>
    <t>20,02,2015 - 01.05.2015</t>
  </si>
  <si>
    <t>27.02.2015 - 01.08.,2015</t>
  </si>
  <si>
    <t>27.02.2015 - 31,12,2015</t>
  </si>
  <si>
    <t>02.03.2015 - 31,12,2015</t>
  </si>
  <si>
    <t>04,03,2015 - 01,05,2015</t>
  </si>
  <si>
    <t>უწყვეტი კვების წყარო UPS</t>
  </si>
  <si>
    <t>ტესტები chlamydia Hexagon</t>
  </si>
  <si>
    <t>ტესტები chlamydia IgG &amp; IgM</t>
  </si>
  <si>
    <t>მედიკამენტები გვერდითი ეფექტის მართვისთვის</t>
  </si>
  <si>
    <t>19,03,2015 - 01,05.2015</t>
  </si>
  <si>
    <t>336</t>
  </si>
  <si>
    <t>20,03,2015 - 31,01,2016</t>
  </si>
  <si>
    <t>25.03.2015 - 01.06.2015</t>
  </si>
  <si>
    <t>შეუსრულებელი ვალდებულება</t>
  </si>
  <si>
    <t>საოფისე ავეჯი</t>
  </si>
  <si>
    <t>GF-H/ET/G-143</t>
  </si>
  <si>
    <t>შპს "მოდერნ ვილა"</t>
  </si>
  <si>
    <t>04,04,2015 - 01.07.2015</t>
  </si>
  <si>
    <t>1 &amp; 3 არხიანი ნარკოტესტები</t>
  </si>
  <si>
    <t>GF-H/ET/G-144</t>
  </si>
  <si>
    <t>შპს "ეკონ ჯორჯია"</t>
  </si>
  <si>
    <t>07,04,2015 - 31.12.2015</t>
  </si>
  <si>
    <t>GF-H/SSP/G-145</t>
  </si>
  <si>
    <t>შპს "ივერსი"</t>
  </si>
  <si>
    <t>07,04,2015 - 01,06,2015</t>
  </si>
  <si>
    <t>GF-T-H/ET/G-146</t>
  </si>
  <si>
    <t>15,04,2015 - 31,12,2015</t>
  </si>
  <si>
    <t>სეიფების შესყიდვა</t>
  </si>
  <si>
    <t>GF-H/SSP/G-147</t>
  </si>
  <si>
    <t>შპს "ელექტროკომპლექტი"</t>
  </si>
  <si>
    <t>17,04,2015 - 01,06,2015</t>
  </si>
  <si>
    <t>GF-H/SSP/G-148</t>
  </si>
  <si>
    <t>შპს "საქართველოს პლასტიკური წარმოება"</t>
  </si>
  <si>
    <t>17,04,2015 - 01,07,2015</t>
  </si>
  <si>
    <t>GF-H/CON/G-149</t>
  </si>
  <si>
    <t>შპს "დეკორი"</t>
  </si>
  <si>
    <t>20,04,2015 - 30,06,2015</t>
  </si>
  <si>
    <t>მედიკამენტი ომეპრაზოლი</t>
  </si>
  <si>
    <t>GF-T/ET/G-150</t>
  </si>
  <si>
    <t>21,04,2015 - 31,01,2016</t>
  </si>
  <si>
    <t>GF-T/SSP/G-151</t>
  </si>
  <si>
    <t>სპირტიანი ტამპონები</t>
  </si>
  <si>
    <t>GF-H/ET/G-152</t>
  </si>
  <si>
    <t>27,04,2015 - 31,12,2015</t>
  </si>
  <si>
    <t>ნემსები</t>
  </si>
  <si>
    <t>GF-H/ET/G-153</t>
  </si>
  <si>
    <t>27,04,2015 - 31,07,2015</t>
  </si>
  <si>
    <t>ბუნიკები</t>
  </si>
  <si>
    <t>GF-T-H/ET/G-154</t>
  </si>
  <si>
    <t>GF-T/ET/G-155</t>
  </si>
  <si>
    <t>29,04,2015 - 31,01,2016</t>
  </si>
  <si>
    <t>რნმ/დნმ-ის საექსტრაქციო ნაკრები EASY MAG</t>
  </si>
  <si>
    <t>GF-H/ET/G-156</t>
  </si>
  <si>
    <t>შპს "MSCO"</t>
  </si>
  <si>
    <t>01,05,2015 - 31,01,2016</t>
  </si>
  <si>
    <t>სახარჯი მასალა - სასაგნე მინა და სხვა</t>
  </si>
  <si>
    <t>GF-T-H/ET/G-157</t>
  </si>
  <si>
    <t>შპს "ინტერლაბი"</t>
  </si>
  <si>
    <t>05,05,2015 - 10,08,2015</t>
  </si>
  <si>
    <t>ლაბორატორიული სახარჯი მასალების შესყიდვა MGIT</t>
  </si>
  <si>
    <t>GF-T/ET/G-158</t>
  </si>
  <si>
    <t>05,05,2015 - 31,01,2016</t>
  </si>
  <si>
    <t>სასმელი წყალი</t>
  </si>
  <si>
    <t>GF-T/SSP/G-159</t>
  </si>
  <si>
    <t>შპს "ბორჯომი ვოთერსი"</t>
  </si>
  <si>
    <t>05,04,2015 - 31,12,2015</t>
  </si>
  <si>
    <t>GF-H/SET/G-160</t>
  </si>
  <si>
    <t>07,05,2015 - 31,12,2015</t>
  </si>
  <si>
    <t>პროექტორები &amp; პროექტორის ეკრანები</t>
  </si>
  <si>
    <t>GF-H/SET/G-161</t>
  </si>
  <si>
    <t>შპს AllMarket.ge</t>
  </si>
  <si>
    <t>11,05,2015 - 31,12,2015</t>
  </si>
  <si>
    <t>სკანერები და ლაზერული პრინტერები</t>
  </si>
  <si>
    <t>GF-T-H/SET/G-162</t>
  </si>
  <si>
    <t>ცენტრიფუგა</t>
  </si>
  <si>
    <t>GF-H/SET/G-163</t>
  </si>
  <si>
    <t>ანტიფრიზის შესყიდვა</t>
  </si>
  <si>
    <t>GF-H/SSP/G-164</t>
  </si>
  <si>
    <t>ი.მ. დიმიტრი კრავეიშვილი</t>
  </si>
  <si>
    <t>01009018060</t>
  </si>
  <si>
    <t>11,05,2015 - 01,07,2015</t>
  </si>
  <si>
    <t>ტესტსისტემა CD4 2 ფერიანი</t>
  </si>
  <si>
    <t>GF-H/ET/G-165</t>
  </si>
  <si>
    <t>13,05,2015 - 30,01,2016</t>
  </si>
  <si>
    <t>GF-H/SET/G-166</t>
  </si>
  <si>
    <t>შპა "ჯეო ქლინ+"</t>
  </si>
  <si>
    <t>15,05,2015 - 31,12,2015</t>
  </si>
  <si>
    <t>ჰაერის საკონდენსაციო საშუალებები</t>
  </si>
  <si>
    <t>GF-H/SET/G-167</t>
  </si>
  <si>
    <t>შპს "გალაქსი"</t>
  </si>
  <si>
    <t>18,05,2015 - 31,12,2016</t>
  </si>
  <si>
    <t>ავტოკლავის ჩანთები</t>
  </si>
  <si>
    <t>GF-T/ET/G-168</t>
  </si>
  <si>
    <t>19,05,2015 - 01.07.2015</t>
  </si>
  <si>
    <t>GF-H/ET/G-169</t>
  </si>
  <si>
    <t>ააიპ "საქართველოს საზოგადოებრივი ჯანდაცვის ფონდი"</t>
  </si>
  <si>
    <t>19,05,2015 - 31.08.2015</t>
  </si>
  <si>
    <t>GF-H/ET/G-170</t>
  </si>
  <si>
    <t>21.05.2015 - 31.01.2016</t>
  </si>
  <si>
    <t>მეთადონი 10მგ/მლ.</t>
  </si>
  <si>
    <t>GF-H/SSP/G-171</t>
  </si>
  <si>
    <t>Alkaloid AD Skopje</t>
  </si>
  <si>
    <t>MK4030946257762</t>
  </si>
  <si>
    <t>01.06.2015 - 31.01.2016</t>
  </si>
  <si>
    <t>უალკოჰოლო სასმელი</t>
  </si>
  <si>
    <t>GF-T/SSP/G-172</t>
  </si>
  <si>
    <t>05,06,2015 - 31,07,2015</t>
  </si>
  <si>
    <t>GF-H/SSP/G-173</t>
  </si>
  <si>
    <t>GF-T/SSP/G-174</t>
  </si>
  <si>
    <t>წარმომადგენლობითი ხარჯი კვება</t>
  </si>
  <si>
    <t>GF-H/SSP/G-175</t>
  </si>
  <si>
    <t>ი.მ. "დავით იჩქითი"</t>
  </si>
  <si>
    <t>05,06,2015 - 31,08,2015</t>
  </si>
  <si>
    <t>საბურავების შესყიდვა</t>
  </si>
  <si>
    <t>GF-T/SSP/G-176</t>
  </si>
  <si>
    <t>შპს "მოტორსტარი"</t>
  </si>
  <si>
    <t>05,06,2015 - 01,11,2015</t>
  </si>
  <si>
    <t>GF-H/SSP/G-177</t>
  </si>
  <si>
    <t>თარგმნა</t>
  </si>
  <si>
    <t>GF-H/SSP/G-178</t>
  </si>
  <si>
    <t>შპს პისიარჯი</t>
  </si>
  <si>
    <t>08,06,2015 - 31,07,2015</t>
  </si>
  <si>
    <t>GF-T/ET/G-179</t>
  </si>
  <si>
    <t>08,06,2015 - 31,12,2015</t>
  </si>
  <si>
    <t>მობილური ლაბორატორია</t>
  </si>
  <si>
    <t>GF-H/ET/G-180</t>
  </si>
  <si>
    <t>შპს "ჯი-თი მოტორს"</t>
  </si>
  <si>
    <t>10,06,2015 - 31,12,2015</t>
  </si>
  <si>
    <t>GF-H/SSP/G-181</t>
  </si>
  <si>
    <t>შპს "პანეტერია"</t>
  </si>
  <si>
    <t>22,06,2015 - 31,08,2015</t>
  </si>
  <si>
    <t>წარმომადგენლობითი ხარჯი</t>
  </si>
  <si>
    <t>GF-H/SSP/S-182</t>
  </si>
  <si>
    <t>შპს "ჯოჯო გრუპი"</t>
  </si>
  <si>
    <t>23,06,2015 - 01,08,2015</t>
  </si>
  <si>
    <t>GF-T/ET/G-183</t>
  </si>
  <si>
    <t>30.06.2015 - 31.12.2015</t>
  </si>
  <si>
    <t>GF-T/SSP/G-184</t>
  </si>
  <si>
    <t>Cepheid HBDC SAS</t>
  </si>
  <si>
    <t>30,06,2015 - 30,11,2016</t>
  </si>
  <si>
    <t>GF-T-H/SSP/S-185</t>
  </si>
  <si>
    <t>შპს სკს</t>
  </si>
  <si>
    <t>01.07.2015 - 31.01.2016</t>
  </si>
  <si>
    <t>GF-H/ET/G-186</t>
  </si>
  <si>
    <t>კვლევა სტიგმა და დისკიმინაცია</t>
  </si>
  <si>
    <t>GF-H/ET/S-187</t>
  </si>
  <si>
    <t>შპს "ბი-სი-ჯი კვლევა"</t>
  </si>
  <si>
    <t>მედია კომპანია</t>
  </si>
  <si>
    <t>GF-H/ET/S-188</t>
  </si>
  <si>
    <t>შპს "მაკენ ერიქსონი"</t>
  </si>
  <si>
    <t>02.07.2015 - 31.01.2016</t>
  </si>
  <si>
    <t>კომპიუტერები</t>
  </si>
  <si>
    <t>GF-H-T/CON/G-189</t>
  </si>
  <si>
    <t>შპს "ალტა"</t>
  </si>
  <si>
    <t>06,07,2015 - 31,12,2015</t>
  </si>
  <si>
    <t>მეთედონის ლოჯისტიკა</t>
  </si>
  <si>
    <t>GF-H/SET/S-190</t>
  </si>
  <si>
    <t>შპს "მედფარმა პლუსი"</t>
  </si>
  <si>
    <t>06.07.2015 - 31.01.2016</t>
  </si>
  <si>
    <t>GF-H/ET/G-191</t>
  </si>
  <si>
    <t>10.07.2015 - 30.01.2016</t>
  </si>
  <si>
    <t>GF-H/ET/G-192</t>
  </si>
  <si>
    <t>21.07.2015 - 31.01.2016</t>
  </si>
  <si>
    <t>GF-T-H/ET/G-193</t>
  </si>
  <si>
    <t>შპს "ლაბექსი"</t>
  </si>
  <si>
    <t>ტესტსისტემები HCV რნმ რაოდენობრივი განსაზღვრისათვის</t>
  </si>
  <si>
    <t>GF-H/ET/G-194</t>
  </si>
  <si>
    <t>22.07.2015 - 31.01.2016</t>
  </si>
  <si>
    <t>GF-H/SET/G-195</t>
  </si>
  <si>
    <t>შპს "ჯეო გრუპ"</t>
  </si>
  <si>
    <t>24.07.2015 - 31.01.2016</t>
  </si>
  <si>
    <t>კაპილა ტესტი - TB Ag MPT64 Rapid test</t>
  </si>
  <si>
    <t>GF-T/ET/G-196</t>
  </si>
  <si>
    <t>GF-T/ET/G-197</t>
  </si>
  <si>
    <t>შპს "თანამედროვე ლაბორატორიული ტექნოლოგიები"</t>
  </si>
  <si>
    <t>29.07.2015 - 31.01.2016</t>
  </si>
  <si>
    <t>რემონტი</t>
  </si>
  <si>
    <t>GF-H/SET/CW-198</t>
  </si>
  <si>
    <t>შპს "ჯორჯიან ნიუ გრუპ"</t>
  </si>
  <si>
    <t>04.08.2015 - 31.01.2016</t>
  </si>
  <si>
    <t>GF-H/SET/G-199</t>
  </si>
  <si>
    <t>06.08.2015 - 31.01.2016</t>
  </si>
  <si>
    <t>GF-H/ET/G-200</t>
  </si>
  <si>
    <t>07.08.2015 - 31.12.2015</t>
  </si>
  <si>
    <t>GF-H/ET/G-201</t>
  </si>
  <si>
    <t>ფლუოციტომეტრი</t>
  </si>
  <si>
    <t>GF-H/ET/G-202</t>
  </si>
  <si>
    <t xml:space="preserve">11,08,2015 - 31,01,2016 </t>
  </si>
  <si>
    <t>GF-H/ET/G-203</t>
  </si>
  <si>
    <t xml:space="preserve">10,08,2015 - 31,01,2016 </t>
  </si>
  <si>
    <t>GF-H/ET/G-204</t>
  </si>
  <si>
    <t>GF-H/ET/G-205</t>
  </si>
  <si>
    <t>24.08.2015 - 31.01.2016</t>
  </si>
  <si>
    <t>სუფთა ქიმიური ნივთიერებები</t>
  </si>
  <si>
    <t>GF-H/SSP/G-206</t>
  </si>
  <si>
    <t>24,08,2015 - 31,01,2016</t>
  </si>
  <si>
    <t>ხელთათმანები</t>
  </si>
  <si>
    <t>GF-H/ET/G-207</t>
  </si>
  <si>
    <t>ი.მ. ზაზა ხარაძე</t>
  </si>
  <si>
    <t>01008016905</t>
  </si>
  <si>
    <t>26.08.2015 - 31.01.2016</t>
  </si>
  <si>
    <t>ვიდეო კონტროლის სისტემა</t>
  </si>
  <si>
    <t>GF-H/SSP/G-208</t>
  </si>
  <si>
    <t>ი.მ. გიორგი კალატოზიშვილი</t>
  </si>
  <si>
    <t>01017009691</t>
  </si>
  <si>
    <t>26.08.2015 - 31.12.2015</t>
  </si>
  <si>
    <t>ბიოქიმია</t>
  </si>
  <si>
    <t>GF-T/ET/G-209</t>
  </si>
  <si>
    <t>27.08.2015 - 31.01.2016</t>
  </si>
  <si>
    <t>სახარჯი მასალა - სინჯარები</t>
  </si>
  <si>
    <t>GF-H/ET/G-210</t>
  </si>
  <si>
    <t>31.08.2015 - 31.01.2016</t>
  </si>
  <si>
    <t>GF-H/ET/G-211</t>
  </si>
  <si>
    <t>01.09.2015 - 31.01.2016</t>
  </si>
  <si>
    <t>სადეზინფექციო საშ.</t>
  </si>
  <si>
    <t>GF-H/ET/G-212</t>
  </si>
  <si>
    <t>შპს "ბიოლენდი"</t>
  </si>
  <si>
    <t>კარდიოგრაფი</t>
  </si>
  <si>
    <t>GF-T/ET/G-213</t>
  </si>
  <si>
    <t>შპს "თბილისი მედიკ"</t>
  </si>
  <si>
    <t>09.09.2015 - 31.01.2016</t>
  </si>
  <si>
    <t>სახარჯი მასალა</t>
  </si>
  <si>
    <t>GF-H/ET/G-214</t>
  </si>
  <si>
    <t>GF-T/ET/G-215</t>
  </si>
  <si>
    <t>09.09.2015 - 30.01.2016</t>
  </si>
  <si>
    <t>GF-H/ET/G-216</t>
  </si>
  <si>
    <t>17.09.2015 - 31.01.2016</t>
  </si>
  <si>
    <t>სინჯარა 50მლ.</t>
  </si>
  <si>
    <t>GF-T-H/ET/G-217</t>
  </si>
  <si>
    <t>21.09.2015 - 31.01.2016</t>
  </si>
  <si>
    <t>ტესტსისტემები HCV რნმ თვისობრივი განსაზღვრისთვის</t>
  </si>
  <si>
    <t xml:space="preserve"> GF-H/ET/G-218</t>
  </si>
  <si>
    <t>22.09.2015 - 31.01.2016</t>
  </si>
  <si>
    <t>GF-H/SSP/G-219</t>
  </si>
  <si>
    <t>23.09.2015 - 31.01.2016</t>
  </si>
  <si>
    <t>ავტომობილების სათადარიგო ნაწილები</t>
  </si>
  <si>
    <t>GF-T/SSP/S-220</t>
  </si>
  <si>
    <t>GF-H/SSP/S-221</t>
  </si>
  <si>
    <t>25.09.2015 - 31.01.2016</t>
  </si>
  <si>
    <t>აკუმულატორი</t>
  </si>
  <si>
    <t>GF-H/SSP/S-222</t>
  </si>
  <si>
    <t>GF-H/ET/G-223</t>
  </si>
  <si>
    <t>GF-T-H/SET/S-224</t>
  </si>
  <si>
    <t>შპს "კარგო ლოჯისთიქს გრუფ ჯორჯია"</t>
  </si>
  <si>
    <t>29.09.2015 - 31.01.2016</t>
  </si>
  <si>
    <t>ხარისხის კონტროლი</t>
  </si>
  <si>
    <t>GF-T-H/SET/S-225</t>
  </si>
  <si>
    <t>შპს "გლობალტესტი"</t>
  </si>
  <si>
    <t>სტუმრების დახვედრა აეროპორტში</t>
  </si>
  <si>
    <t>GF-H/SSP/S-226</t>
  </si>
  <si>
    <t>შპს თავ ჯორჯია ოპერეიშენ სერვისიზ</t>
  </si>
  <si>
    <t>29,09,2015 - 31.01.2016</t>
  </si>
  <si>
    <t>GF-H/SSP/S-227</t>
  </si>
  <si>
    <t>01.10.2015 - 31.01.2016</t>
  </si>
  <si>
    <t xml:space="preserve">A&amp;B ჰეპატიტის საწინააღმდეგო ვაქცინები </t>
  </si>
  <si>
    <t>GF-H/ET/G-228</t>
  </si>
  <si>
    <t>19.10.2015 - 31.01.2016</t>
  </si>
  <si>
    <t>აუდიომეტრი</t>
  </si>
  <si>
    <t>GF-T/ET/G-229</t>
  </si>
  <si>
    <t>შპს "კინდ სმენა"</t>
  </si>
  <si>
    <t>22.10.2015 - 31.01.2016</t>
  </si>
  <si>
    <t>GF-H/SET/G-230</t>
  </si>
  <si>
    <t>GF-T/SSP/S-231</t>
  </si>
  <si>
    <t>27.10.2015 - 30.01.2016</t>
  </si>
  <si>
    <t>GF-T/SSP/S-232</t>
  </si>
  <si>
    <t>GF-T/SSP/S-233</t>
  </si>
  <si>
    <t xml:space="preserve">96 ფოსოიანი ოპტიკური პლანშეტი </t>
  </si>
  <si>
    <t>GF-H/ET/G-234</t>
  </si>
  <si>
    <t>29.10.2015 - 31.01.2016</t>
  </si>
  <si>
    <t>მედიკამენტები I რიგი</t>
  </si>
  <si>
    <t>GF-T/SSP/G-235</t>
  </si>
  <si>
    <t>01,11,2015 - 01,05,2017</t>
  </si>
  <si>
    <t>მედიკამენტები II რიგი</t>
  </si>
  <si>
    <t>GF-T/SSP/G-235/2</t>
  </si>
  <si>
    <t>21.12.2015 - 01.03.2017</t>
  </si>
  <si>
    <t>GF-H/ET/G-236</t>
  </si>
  <si>
    <t>შპს "თი.ელ.ჯი. მედიკალ"</t>
  </si>
  <si>
    <t>09.11.2015 - 31.01.2016</t>
  </si>
  <si>
    <t>GF-H/ET/G-237</t>
  </si>
  <si>
    <t>GF-H/ET/G-238</t>
  </si>
  <si>
    <t>GF-H/ET/G-239</t>
  </si>
  <si>
    <t>GF-H/ET/G-240</t>
  </si>
  <si>
    <t>12.11.2015 - 31.01.2016</t>
  </si>
  <si>
    <t>GF-H/SSP/G-241</t>
  </si>
  <si>
    <t>PFSCM</t>
  </si>
  <si>
    <t>026009593</t>
  </si>
  <si>
    <t>13,11,2015 - 31,12,2016</t>
  </si>
  <si>
    <t>საკანცელარიო სქონელი</t>
  </si>
  <si>
    <t>GF-T/SSP/G-242</t>
  </si>
  <si>
    <t>13,11,2015 - 31,01,2016</t>
  </si>
  <si>
    <t>GF-T/SSP/G-243</t>
  </si>
  <si>
    <t>ავტომობილის აქსესუარები</t>
  </si>
  <si>
    <t>GF-T/SSP/G-244</t>
  </si>
  <si>
    <t>შპს "სანი 2009"</t>
  </si>
  <si>
    <t>202448734</t>
  </si>
  <si>
    <t>GF-H/ET/G-245</t>
  </si>
  <si>
    <t>18.11.2015 - 31.01.2016</t>
  </si>
  <si>
    <t xml:space="preserve">ოპტიკური მიკრომილაკის 0.2 მლ-იანი სტრიპი </t>
  </si>
  <si>
    <t>GF-H/ET/G-246</t>
  </si>
  <si>
    <t>19.11.2015 - 31.01.2016</t>
  </si>
  <si>
    <t>GF-H/ET/G-247</t>
  </si>
  <si>
    <t>GF-T/ET/G-248</t>
  </si>
  <si>
    <t>20.11.2015 - 31.01.2016</t>
  </si>
  <si>
    <t>სპირტი 100%</t>
  </si>
  <si>
    <t>GF-H/ET/G-249</t>
  </si>
  <si>
    <t>26.11.2015 - 31.01.2016</t>
  </si>
  <si>
    <t>წარმომადგენლობითი ხარჯი - კვება</t>
  </si>
  <si>
    <t>GF-H/SSP/S-250</t>
  </si>
  <si>
    <t xml:space="preserve">შპს „ჯორჯიან ჰოტელ მენეჯმენტი“ </t>
  </si>
  <si>
    <t>26,11,2015 - 01,01,2016</t>
  </si>
  <si>
    <t>საკანცელარიო საქონელი - შტენდერი</t>
  </si>
  <si>
    <t>GF-H/SSP/G-251</t>
  </si>
  <si>
    <t>შპს "კოპიპრინტი"</t>
  </si>
  <si>
    <t>26,11,2015 - 31,01,2016</t>
  </si>
  <si>
    <t>GF-H/SSP/G-252</t>
  </si>
  <si>
    <t>ი.მ. ელენე ქარცივაძე</t>
  </si>
  <si>
    <t>01905048794</t>
  </si>
  <si>
    <t>წარმომადგენლობითი ხარჯი - სასაჩუქრე ვაუჩერი - საიუველირო საქონელი</t>
  </si>
  <si>
    <t>GF-H/SSP/G-253</t>
  </si>
  <si>
    <t>შპს „პოლა“</t>
  </si>
  <si>
    <t>27,11,2015 - 01,01,2016</t>
  </si>
  <si>
    <r>
      <t xml:space="preserve">48 ფოსოიანი კონტეინერი </t>
    </r>
    <r>
      <rPr>
        <sz val="10"/>
        <rFont val="Arial"/>
        <family val="2"/>
      </rPr>
      <t>AutoLipa</t>
    </r>
    <r>
      <rPr>
        <sz val="10"/>
        <rFont val="AcadNusx"/>
      </rPr>
      <t>-Tvis</t>
    </r>
  </si>
  <si>
    <t>GF-H/ET/G-254</t>
  </si>
  <si>
    <t xml:space="preserve"> შპს "გეომედხემი"</t>
  </si>
  <si>
    <t>01,12,2015 - 31,01,2016</t>
  </si>
  <si>
    <t>დეფიბრილატორი</t>
  </si>
  <si>
    <t>GF-H/ET/G-255</t>
  </si>
  <si>
    <t>შპს ბიოსამედიცინო სისტემები და გაზები</t>
  </si>
  <si>
    <t>04,12,2015 - 30,03,2016</t>
  </si>
  <si>
    <t>GF-H/ET/G-256</t>
  </si>
  <si>
    <t>შპს "სტრადა მოტორსი"</t>
  </si>
  <si>
    <t>25.12.2015 - 01.07.2016</t>
  </si>
  <si>
    <t>GF-T/SSP/S-257</t>
  </si>
  <si>
    <t>25.12.2015 - 31.01.2016</t>
  </si>
  <si>
    <t>სახელმწიფო ბიუჯეტი</t>
  </si>
  <si>
    <t>გათვალისწინებულია სახ. ბიუჯეტის გეგმაში</t>
  </si>
  <si>
    <t>გამარტივებული ელექტრონული ტენდერი</t>
  </si>
  <si>
    <t xml:space="preserve">შპრიცები 1მგ. (ინსულინის) </t>
  </si>
  <si>
    <t>მედიკამენტები (ანტიბიოტიკები)</t>
  </si>
  <si>
    <t xml:space="preserve">კომპ. ქსელის გამანაწილებელი </t>
  </si>
  <si>
    <t xml:space="preserve">სუფთა ქიმიური ნივითიერებები </t>
  </si>
  <si>
    <t xml:space="preserve">საკანცელარიო ნივთები </t>
  </si>
  <si>
    <t xml:space="preserve">რესპირატორები </t>
  </si>
  <si>
    <t xml:space="preserve">სინჯარა 15მლ.  </t>
  </si>
  <si>
    <t>კარტირიჯები GeneXpert-ის აპარატებისთვის</t>
  </si>
  <si>
    <t>შიდსის სწარფი მარტივი ტესტები HIV 1/2</t>
  </si>
  <si>
    <t xml:space="preserve">ტესტსისტემები HIVDR </t>
  </si>
  <si>
    <t>ტესტსისტემები - გენოტიპირებისთვის</t>
  </si>
  <si>
    <t>ექსპრეს-ტესტი (ათაშანგის)</t>
  </si>
  <si>
    <t>ვაქცინები - გრიპის საწინააღმდეგო ვაქცინა</t>
  </si>
  <si>
    <t>ტესტსისტემები HCV გენოტიპირებისთვის</t>
  </si>
  <si>
    <t xml:space="preserve">ტესტსისტემები - ნაცხის კიტი </t>
  </si>
  <si>
    <t>ტესტსისტემები (ათაშანგის)</t>
  </si>
  <si>
    <t>ტესტსისტემები HCV რნმ რაოდენობრივი განსაზღვრისთვის</t>
  </si>
  <si>
    <t>კონდომები</t>
  </si>
  <si>
    <t>არალკოჰოლური სასმელები</t>
  </si>
  <si>
    <t>შპრიცები 2 ml.</t>
  </si>
  <si>
    <t>შპრიცები 3 ml.</t>
  </si>
  <si>
    <t>შპრიცები 5 ml.</t>
  </si>
  <si>
    <t>შპრიცები 10 &amp; 20 ml.</t>
  </si>
  <si>
    <t>ბ და ც ჰეპატიტის ტესტები HCV &amp; HBV</t>
  </si>
  <si>
    <t xml:space="preserve">ვირუსული რნმ-ის ექსტრაქციის ნაკრები </t>
  </si>
  <si>
    <t>სამედიციინო სახარჯი მასალა - პჯრ მიკროსინჯარა</t>
  </si>
  <si>
    <t>დანაყოფის
cpv კოდი</t>
  </si>
  <si>
    <t>ტუბერკულოზის მართვა</t>
  </si>
  <si>
    <t>აივ-ინფექცია/შიდსი</t>
  </si>
  <si>
    <t>საქართველოში აივ/შიდსის პრევენციის მიზნით არსებული ეროვნული რეაგირების მხარდაჭერა, აივ/შიდსით დაავადებულთა სიცოცხლის მაჩვენებლების გაუმჯობესება მკურნალობისა და მოვლის ღონისძიებების გაძლიერების გზით</t>
  </si>
  <si>
    <t>ტუბერკულოზის ყველა ფორმის, მათ შორის რეზისტენტული ტუბერკულოზის ხარისხიანი დიაგნოსტირებისა და მკურნალობის უნივერსალური ხელმისაწვდომობის უზრუნველყოფა</t>
  </si>
  <si>
    <t>ინფორმაცია აივ ინფექციის/შიდსის, ტუბერკულოზისა და მალარიის წინააღმდეგ ბრძოლის გლობალური ფონდის (The Global Fund to Fight AIDS, Tuberculosis and Malaria) დაფინანსებით, „საქართველოში აივ/შიდსის პრევენციის მიზნით არსებული ეროვნული რეაგირების მხარდაჭერა, აივ/შიდსით დაავადებულთა სიცოცხლის მაჩვენებლების გაუმჯობესება მკურნალობისა და მოვლის ღონისძიებების გაძლიერების გზით“ (გრანტი №GEO-H-NCDC) და “ტუბერკულოზის ყველა ფორმის, მათ შორის რეზისტენტული ტუბერკულოზის ხარისხიანი დიაგნოსტირებისა და მკურნალობის უნივერსალური ხელმისაწვდომობის უზრუნველყოფა” (გრანტი №GEO-T-NCDC) პროგრამების ფარგლებში განხორციელებული 2015 წლის შესყიდვების შესახებ</t>
  </si>
  <si>
    <t>„საქართველოში აივ/შიდსის პრევენციის მიზნით არსებული ეროვნული რეაგირების მხარდაჭერა, აივ/შიდსით დაავადებულთა სიცოცხლის მაჩვენებლების გაუმჯობესება მკურნალობისა და მოვლის ღონისძიებების გაძლიერების გზით“  და “ტუბერკულოზის ყველა ფორმის, მათ შორის რეზისტენტული ტუბერკულოზის ხარისხიანი დიაგნოსტირებისა და მკურნალობის უნივერსალური ხელმისაწვდომობის უზრუნველყოფა”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</si>
</sst>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L_a_r_i_-;\-* #,##0.00\ _L_a_r_i_-;_-* &quot;-&quot;??\ _L_a_r_i_-;_-@_-"/>
    <numFmt numFmtId="164" formatCode="0.0000"/>
    <numFmt numFmtId="165" formatCode="&quot;$&quot;#,##0.00"/>
    <numFmt numFmtId="166" formatCode="#,##0.00\ [$€-47E]"/>
    <numFmt numFmtId="167" formatCode="_-* #,##0\ _L_a_r_i_-;\-* #,##0\ _L_a_r_i_-;_-* &quot;-&quot;??\ _L_a_r_i_-;_-@_-"/>
    <numFmt numFmtId="168" formatCode="#,##0.00\ [$€-42D]"/>
    <numFmt numFmtId="169" formatCode="[$$-45C]#,##0.00"/>
  </numFmts>
  <fonts count="26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1"/>
      <scheme val="minor"/>
    </font>
    <font>
      <b/>
      <sz val="9"/>
      <color theme="1"/>
      <name val="Sylfaen"/>
      <family val="2"/>
      <scheme val="minor"/>
    </font>
    <font>
      <b/>
      <sz val="9"/>
      <name val="Sylfaen"/>
      <family val="2"/>
      <scheme val="minor"/>
    </font>
    <font>
      <sz val="10"/>
      <name val="Arial"/>
      <family val="2"/>
    </font>
    <font>
      <sz val="8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sz val="8"/>
      <name val="Sylfaen"/>
      <family val="2"/>
      <scheme val="minor"/>
    </font>
    <font>
      <sz val="8"/>
      <color rgb="FF000000"/>
      <name val="Sylfaen"/>
      <family val="1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8"/>
      <name val="Sylfaen"/>
      <family val="2"/>
      <scheme val="major"/>
    </font>
    <font>
      <sz val="8"/>
      <name val="AcadNusx"/>
    </font>
    <font>
      <sz val="8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theme="1"/>
      <name val="Sylfaen"/>
      <family val="2"/>
      <scheme val="minor"/>
    </font>
    <font>
      <sz val="7"/>
      <color theme="1"/>
      <name val="Sylfaen"/>
      <family val="2"/>
      <scheme val="minor"/>
    </font>
    <font>
      <sz val="10"/>
      <name val="Sylfaen"/>
      <family val="2"/>
      <charset val="1"/>
      <scheme val="minor"/>
    </font>
    <font>
      <sz val="11"/>
      <name val="Sylfaen"/>
      <family val="2"/>
      <charset val="1"/>
      <scheme val="minor"/>
    </font>
    <font>
      <sz val="9"/>
      <name val="Sylfaen"/>
      <family val="2"/>
      <scheme val="minor"/>
    </font>
    <font>
      <sz val="7"/>
      <name val="Sylfaen"/>
      <family val="2"/>
      <scheme val="minor"/>
    </font>
    <font>
      <sz val="7"/>
      <name val="Sylfaen"/>
      <family val="2"/>
      <charset val="1"/>
      <scheme val="minor"/>
    </font>
    <font>
      <sz val="8"/>
      <name val="Sylfaen"/>
      <family val="1"/>
      <charset val="204"/>
    </font>
    <font>
      <sz val="10"/>
      <name val="AcadNusx"/>
    </font>
    <font>
      <b/>
      <sz val="12"/>
      <name val="Sylfae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/>
    </xf>
    <xf numFmtId="0" fontId="9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/>
    <xf numFmtId="4" fontId="5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3" borderId="0" xfId="0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22" fontId="7" fillId="2" borderId="0" xfId="0" applyNumberFormat="1" applyFont="1" applyFill="1" applyBorder="1" applyAlignment="1">
      <alignment horizontal="center" vertical="center" wrapText="1"/>
    </xf>
    <xf numFmtId="22" fontId="5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/>
    <xf numFmtId="43" fontId="5" fillId="2" borderId="1" xfId="2" applyFont="1" applyFill="1" applyBorder="1" applyAlignment="1">
      <alignment horizontal="center" vertical="center" wrapText="1"/>
    </xf>
    <xf numFmtId="43" fontId="5" fillId="2" borderId="2" xfId="2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167" fontId="5" fillId="0" borderId="2" xfId="2" applyNumberFormat="1" applyFont="1" applyBorder="1" applyAlignment="1">
      <alignment horizontal="center" vertical="center" wrapText="1"/>
    </xf>
    <xf numFmtId="167" fontId="5" fillId="2" borderId="2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2" fontId="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/>
    <xf numFmtId="4" fontId="5" fillId="2" borderId="1" xfId="0" applyNumberFormat="1" applyFont="1" applyFill="1" applyBorder="1" applyAlignment="1">
      <alignment vertical="center" wrapText="1"/>
    </xf>
    <xf numFmtId="43" fontId="6" fillId="0" borderId="0" xfId="0" applyNumberFormat="1" applyFont="1"/>
    <xf numFmtId="0" fontId="18" fillId="2" borderId="0" xfId="3" applyFont="1" applyFill="1"/>
    <xf numFmtId="0" fontId="19" fillId="2" borderId="0" xfId="3" applyFont="1" applyFill="1"/>
    <xf numFmtId="0" fontId="18" fillId="2" borderId="0" xfId="3" applyFont="1" applyFill="1" applyAlignment="1">
      <alignment horizontal="right"/>
    </xf>
    <xf numFmtId="0" fontId="20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21" fillId="2" borderId="2" xfId="3" applyFont="1" applyFill="1" applyBorder="1" applyAlignment="1">
      <alignment horizontal="center" vertical="center" wrapText="1"/>
    </xf>
    <xf numFmtId="1" fontId="7" fillId="2" borderId="2" xfId="3" applyNumberFormat="1" applyFont="1" applyFill="1" applyBorder="1" applyAlignment="1">
      <alignment horizontal="center" vertical="center" wrapText="1"/>
    </xf>
    <xf numFmtId="43" fontId="7" fillId="2" borderId="2" xfId="4" applyFont="1" applyFill="1" applyBorder="1" applyAlignment="1">
      <alignment horizontal="center" vertical="center" wrapText="1"/>
    </xf>
    <xf numFmtId="43" fontId="7" fillId="2" borderId="2" xfId="4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43" fontId="7" fillId="2" borderId="1" xfId="4" applyFont="1" applyFill="1" applyBorder="1" applyAlignment="1">
      <alignment horizontal="center" vertical="center" wrapText="1"/>
    </xf>
    <xf numFmtId="43" fontId="7" fillId="2" borderId="1" xfId="4" applyFont="1" applyFill="1" applyBorder="1" applyAlignment="1">
      <alignment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1" fontId="7" fillId="2" borderId="6" xfId="3" applyNumberFormat="1" applyFont="1" applyFill="1" applyBorder="1" applyAlignment="1">
      <alignment horizontal="center" vertical="center" wrapText="1"/>
    </xf>
    <xf numFmtId="43" fontId="7" fillId="2" borderId="5" xfId="4" applyFont="1" applyFill="1" applyBorder="1" applyAlignment="1">
      <alignment horizontal="center" vertical="center" wrapText="1"/>
    </xf>
    <xf numFmtId="43" fontId="7" fillId="2" borderId="5" xfId="4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43" fontId="20" fillId="2" borderId="2" xfId="4" applyFont="1" applyFill="1" applyBorder="1" applyAlignment="1"/>
    <xf numFmtId="0" fontId="7" fillId="2" borderId="1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/>
    </xf>
    <xf numFmtId="0" fontId="14" fillId="2" borderId="1" xfId="3" applyNumberFormat="1" applyFont="1" applyFill="1" applyBorder="1" applyAlignment="1">
      <alignment horizontal="left" vertical="center" wrapText="1"/>
    </xf>
    <xf numFmtId="43" fontId="7" fillId="2" borderId="1" xfId="4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168" fontId="7" fillId="2" borderId="1" xfId="4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top" wrapText="1"/>
    </xf>
    <xf numFmtId="169" fontId="7" fillId="2" borderId="1" xfId="4" applyNumberFormat="1" applyFont="1" applyFill="1" applyBorder="1" applyAlignment="1">
      <alignment horizontal="right" vertical="center" wrapText="1"/>
    </xf>
    <xf numFmtId="22" fontId="7" fillId="2" borderId="1" xfId="3" applyNumberFormat="1" applyFont="1" applyFill="1" applyBorder="1" applyAlignment="1">
      <alignment horizontal="center" vertical="center" wrapText="1"/>
    </xf>
    <xf numFmtId="43" fontId="7" fillId="2" borderId="1" xfId="4" applyFont="1" applyFill="1" applyBorder="1"/>
    <xf numFmtId="0" fontId="23" fillId="2" borderId="1" xfId="1" applyFont="1" applyFill="1" applyBorder="1" applyAlignment="1">
      <alignment horizontal="center" vertical="center" wrapText="1"/>
    </xf>
    <xf numFmtId="169" fontId="7" fillId="2" borderId="1" xfId="4" applyNumberFormat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wrapText="1"/>
    </xf>
    <xf numFmtId="43" fontId="7" fillId="2" borderId="0" xfId="4" applyFont="1" applyFill="1"/>
    <xf numFmtId="0" fontId="20" fillId="2" borderId="2" xfId="3" applyFont="1" applyFill="1" applyBorder="1" applyAlignment="1">
      <alignment horizontal="center" vertical="center" wrapText="1"/>
    </xf>
    <xf numFmtId="43" fontId="7" fillId="2" borderId="1" xfId="4" applyFont="1" applyFill="1" applyBorder="1" applyAlignment="1"/>
    <xf numFmtId="0" fontId="18" fillId="2" borderId="0" xfId="0" applyFont="1" applyFill="1"/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right" vertical="center" wrapText="1"/>
    </xf>
    <xf numFmtId="0" fontId="20" fillId="2" borderId="0" xfId="3" applyFont="1" applyFill="1"/>
    <xf numFmtId="0" fontId="7" fillId="2" borderId="4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167" fontId="5" fillId="2" borderId="5" xfId="2" applyNumberFormat="1" applyFont="1" applyFill="1" applyBorder="1" applyAlignment="1">
      <alignment horizontal="center" vertical="center" wrapText="1"/>
    </xf>
    <xf numFmtId="167" fontId="5" fillId="2" borderId="2" xfId="2" applyNumberFormat="1" applyFont="1" applyFill="1" applyBorder="1" applyAlignment="1">
      <alignment horizontal="center" vertical="center" wrapText="1"/>
    </xf>
    <xf numFmtId="167" fontId="5" fillId="2" borderId="6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18" fillId="2" borderId="0" xfId="3" applyFont="1" applyFill="1" applyAlignment="1">
      <alignment horizontal="center" vertical="center"/>
    </xf>
    <xf numFmtId="0" fontId="22" fillId="2" borderId="1" xfId="3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Normal" xfId="0" builtinId="0"/>
    <cellStyle name="Normal 2" xfId="1"/>
    <cellStyle name="Normal 3" xfId="3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4306;&#4304;&#4315;&#4317;&#4321;&#4304;&#4330;&#4334;&#4304;&#4307;&#4308;&#4305;&#4314;&#4308;&#4305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ვაქცინები"/>
      <sheetName val="სპირტი"/>
      <sheetName val="სახარჯები ინფექც."/>
      <sheetName val="DFA"/>
      <sheetName val="Saliva test"/>
      <sheetName val="TB აპარატურა"/>
    </sheetNames>
    <sheetDataSet>
      <sheetData sheetId="0" refreshError="1">
        <row r="287">
          <cell r="G287">
            <v>45593.392562167952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71"/>
  <sheetViews>
    <sheetView topLeftCell="E2" workbookViewId="0">
      <pane ySplit="1" topLeftCell="A119" activePane="bottomLeft" state="frozen"/>
      <selection activeCell="A2" sqref="A2"/>
      <selection pane="bottomLeft" activeCell="M168" sqref="M168"/>
    </sheetView>
  </sheetViews>
  <sheetFormatPr defaultRowHeight="15"/>
  <cols>
    <col min="1" max="1" width="3.125" style="15" bestFit="1" customWidth="1"/>
    <col min="2" max="2" width="12.25" style="15" bestFit="1" customWidth="1"/>
    <col min="3" max="3" width="10.75" style="15" bestFit="1" customWidth="1"/>
    <col min="4" max="4" width="9.875" style="15" bestFit="1" customWidth="1"/>
    <col min="5" max="5" width="33.25" style="23" customWidth="1"/>
    <col min="6" max="6" width="24.125" style="15" customWidth="1"/>
    <col min="7" max="7" width="17.375" style="15" customWidth="1"/>
    <col min="8" max="8" width="18.75" style="15" customWidth="1"/>
    <col min="9" max="9" width="37.75" style="23" bestFit="1" customWidth="1"/>
    <col min="10" max="10" width="12.625" style="15" customWidth="1"/>
    <col min="11" max="12" width="10" style="15" customWidth="1"/>
    <col min="13" max="13" width="15.5" style="15" bestFit="1" customWidth="1"/>
    <col min="14" max="14" width="11.375" style="15" bestFit="1" customWidth="1"/>
    <col min="15" max="15" width="12.5" style="15" bestFit="1" customWidth="1"/>
    <col min="16" max="16384" width="9" style="15"/>
  </cols>
  <sheetData>
    <row r="1" spans="1:15">
      <c r="O1" s="15">
        <v>2014</v>
      </c>
    </row>
    <row r="2" spans="1:15" s="22" customFormat="1" ht="25.5">
      <c r="A2" s="21" t="s">
        <v>368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31" t="s">
        <v>9</v>
      </c>
      <c r="L2" s="131"/>
      <c r="M2" s="19" t="s">
        <v>10</v>
      </c>
      <c r="N2" s="31"/>
      <c r="O2" s="20" t="s">
        <v>11</v>
      </c>
    </row>
    <row r="3" spans="1:15" s="2" customFormat="1" ht="22.5">
      <c r="A3" s="13">
        <v>1</v>
      </c>
      <c r="B3" s="13" t="s">
        <v>280</v>
      </c>
      <c r="C3" s="13" t="s">
        <v>12</v>
      </c>
      <c r="D3" s="13">
        <v>85100000</v>
      </c>
      <c r="E3" s="5" t="s">
        <v>281</v>
      </c>
      <c r="F3" s="13" t="s">
        <v>13</v>
      </c>
      <c r="G3" s="13">
        <v>140075085</v>
      </c>
      <c r="H3" s="13" t="s">
        <v>282</v>
      </c>
      <c r="I3" s="5" t="s">
        <v>301</v>
      </c>
      <c r="J3" s="30">
        <v>202172139</v>
      </c>
      <c r="K3" s="1" t="s">
        <v>14</v>
      </c>
      <c r="L3" s="1" t="s">
        <v>296</v>
      </c>
      <c r="M3" s="3">
        <v>808934</v>
      </c>
      <c r="N3" s="13"/>
      <c r="O3" s="27">
        <f>32800+7112.1+50530.92+58631.02+69523.55+61577.93+61083.5+58567.47+72869.89+64594.21</f>
        <v>537290.59</v>
      </c>
    </row>
    <row r="4" spans="1:15" s="2" customFormat="1" ht="22.5">
      <c r="A4" s="13">
        <v>2</v>
      </c>
      <c r="B4" s="13" t="s">
        <v>280</v>
      </c>
      <c r="C4" s="13" t="s">
        <v>15</v>
      </c>
      <c r="D4" s="13">
        <v>85100000</v>
      </c>
      <c r="E4" s="5" t="s">
        <v>281</v>
      </c>
      <c r="F4" s="13" t="s">
        <v>13</v>
      </c>
      <c r="G4" s="13">
        <v>140098737</v>
      </c>
      <c r="H4" s="13" t="s">
        <v>17</v>
      </c>
      <c r="I4" s="5" t="s">
        <v>302</v>
      </c>
      <c r="J4" s="30">
        <v>212153756</v>
      </c>
      <c r="K4" s="1" t="s">
        <v>16</v>
      </c>
      <c r="L4" s="1" t="s">
        <v>297</v>
      </c>
      <c r="M4" s="3">
        <v>832945</v>
      </c>
      <c r="N4" s="13"/>
      <c r="O4" s="3">
        <f>107655.1+109500.73+116567.69+122836.86+113610.88+122882.47</f>
        <v>693053.73</v>
      </c>
    </row>
    <row r="5" spans="1:15" s="2" customFormat="1" ht="22.5">
      <c r="A5" s="13">
        <v>3</v>
      </c>
      <c r="B5" s="13" t="s">
        <v>280</v>
      </c>
      <c r="C5" s="13" t="s">
        <v>15</v>
      </c>
      <c r="D5" s="13">
        <v>85100000</v>
      </c>
      <c r="E5" s="5" t="s">
        <v>281</v>
      </c>
      <c r="F5" s="13" t="s">
        <v>13</v>
      </c>
      <c r="G5" s="13">
        <v>140098742</v>
      </c>
      <c r="H5" s="13" t="s">
        <v>18</v>
      </c>
      <c r="I5" s="5" t="s">
        <v>307</v>
      </c>
      <c r="J5" s="30">
        <v>404945164</v>
      </c>
      <c r="K5" s="1" t="s">
        <v>16</v>
      </c>
      <c r="L5" s="1" t="s">
        <v>297</v>
      </c>
      <c r="M5" s="3">
        <v>740808</v>
      </c>
      <c r="N5" s="13"/>
      <c r="O5" s="3">
        <f>106003.64+108438.95+14990+115368.82+108368.55+109940.15+100752.39</f>
        <v>663862.5</v>
      </c>
    </row>
    <row r="6" spans="1:15" s="2" customFormat="1" ht="22.5">
      <c r="A6" s="13">
        <v>4</v>
      </c>
      <c r="B6" s="13" t="s">
        <v>280</v>
      </c>
      <c r="C6" s="13" t="s">
        <v>15</v>
      </c>
      <c r="D6" s="13">
        <v>85100000</v>
      </c>
      <c r="E6" s="5" t="s">
        <v>281</v>
      </c>
      <c r="F6" s="13" t="s">
        <v>13</v>
      </c>
      <c r="G6" s="13">
        <v>140098756</v>
      </c>
      <c r="H6" s="13" t="s">
        <v>19</v>
      </c>
      <c r="I6" s="5" t="s">
        <v>306</v>
      </c>
      <c r="J6" s="30">
        <v>204954843</v>
      </c>
      <c r="K6" s="1" t="s">
        <v>16</v>
      </c>
      <c r="L6" s="1" t="s">
        <v>297</v>
      </c>
      <c r="M6" s="3">
        <v>597047</v>
      </c>
      <c r="N6" s="13"/>
      <c r="O6" s="3">
        <f>88059+84910.34+88247.86+92042.1+89307.34+82986.39+15663.87</f>
        <v>541216.9</v>
      </c>
    </row>
    <row r="7" spans="1:15" s="2" customFormat="1" ht="11.25">
      <c r="A7" s="13">
        <v>5</v>
      </c>
      <c r="B7" s="13" t="s">
        <v>280</v>
      </c>
      <c r="C7" s="13" t="s">
        <v>15</v>
      </c>
      <c r="D7" s="13">
        <v>85100000</v>
      </c>
      <c r="E7" s="5" t="s">
        <v>281</v>
      </c>
      <c r="F7" s="13" t="s">
        <v>13</v>
      </c>
      <c r="G7" s="13">
        <v>140098763</v>
      </c>
      <c r="H7" s="13" t="s">
        <v>20</v>
      </c>
      <c r="I7" s="5" t="s">
        <v>305</v>
      </c>
      <c r="J7" s="30">
        <v>203834716</v>
      </c>
      <c r="K7" s="1" t="s">
        <v>16</v>
      </c>
      <c r="L7" s="1" t="s">
        <v>297</v>
      </c>
      <c r="M7" s="3">
        <v>122406</v>
      </c>
      <c r="N7" s="13"/>
      <c r="O7" s="3">
        <f>56650.15+41529.01+22305.67</f>
        <v>120484.83</v>
      </c>
    </row>
    <row r="8" spans="1:15" s="2" customFormat="1" ht="11.25">
      <c r="A8" s="13">
        <v>6</v>
      </c>
      <c r="B8" s="13" t="s">
        <v>280</v>
      </c>
      <c r="C8" s="13" t="s">
        <v>15</v>
      </c>
      <c r="D8" s="13">
        <v>85100000</v>
      </c>
      <c r="E8" s="5" t="s">
        <v>281</v>
      </c>
      <c r="F8" s="13" t="s">
        <v>13</v>
      </c>
      <c r="G8" s="13">
        <v>140098771</v>
      </c>
      <c r="H8" s="13" t="s">
        <v>21</v>
      </c>
      <c r="I8" s="5" t="s">
        <v>304</v>
      </c>
      <c r="J8" s="30">
        <v>203862855</v>
      </c>
      <c r="K8" s="1" t="s">
        <v>16</v>
      </c>
      <c r="L8" s="1" t="s">
        <v>297</v>
      </c>
      <c r="M8" s="3">
        <v>181495</v>
      </c>
      <c r="N8" s="13"/>
      <c r="O8" s="3">
        <f>10000+17016.18+23419.33+27384.15+32310.6+36027.38+21572.96</f>
        <v>167730.6</v>
      </c>
    </row>
    <row r="9" spans="1:15" s="2" customFormat="1" ht="11.25">
      <c r="A9" s="13">
        <v>7</v>
      </c>
      <c r="B9" s="13" t="s">
        <v>280</v>
      </c>
      <c r="C9" s="13" t="s">
        <v>15</v>
      </c>
      <c r="D9" s="13">
        <v>85100000</v>
      </c>
      <c r="E9" s="5" t="s">
        <v>281</v>
      </c>
      <c r="F9" s="13" t="s">
        <v>13</v>
      </c>
      <c r="G9" s="13">
        <v>140102932</v>
      </c>
      <c r="H9" s="13" t="s">
        <v>23</v>
      </c>
      <c r="I9" s="5" t="s">
        <v>303</v>
      </c>
      <c r="J9" s="30">
        <v>205176780</v>
      </c>
      <c r="K9" s="1" t="s">
        <v>22</v>
      </c>
      <c r="L9" s="1" t="s">
        <v>297</v>
      </c>
      <c r="M9" s="3">
        <v>1573323</v>
      </c>
      <c r="N9" s="13"/>
      <c r="O9" s="3">
        <f>68534+195860.78+204226.71+220209.4+248887.24+228604.45+189467.64</f>
        <v>1355790.2200000002</v>
      </c>
    </row>
    <row r="10" spans="1:15" s="4" customFormat="1" ht="22.5">
      <c r="A10" s="13">
        <v>8</v>
      </c>
      <c r="B10" s="13" t="s">
        <v>280</v>
      </c>
      <c r="C10" s="13" t="s">
        <v>15</v>
      </c>
      <c r="D10" s="13">
        <v>85100000</v>
      </c>
      <c r="E10" s="5" t="s">
        <v>281</v>
      </c>
      <c r="F10" s="13" t="s">
        <v>13</v>
      </c>
      <c r="G10" s="13">
        <v>140152468</v>
      </c>
      <c r="H10" s="13" t="s">
        <v>25</v>
      </c>
      <c r="I10" s="5" t="s">
        <v>302</v>
      </c>
      <c r="J10" s="30">
        <v>212153756</v>
      </c>
      <c r="K10" s="13" t="s">
        <v>24</v>
      </c>
      <c r="L10" s="13" t="s">
        <v>36</v>
      </c>
      <c r="M10" s="3">
        <v>274575</v>
      </c>
      <c r="N10" s="13"/>
      <c r="O10" s="3">
        <f>130091.01+124715.44</f>
        <v>254806.45</v>
      </c>
    </row>
    <row r="11" spans="1:15" s="4" customFormat="1" ht="22.5">
      <c r="A11" s="13">
        <v>9</v>
      </c>
      <c r="B11" s="13" t="s">
        <v>280</v>
      </c>
      <c r="C11" s="13" t="s">
        <v>15</v>
      </c>
      <c r="D11" s="13">
        <v>85100000</v>
      </c>
      <c r="E11" s="5" t="s">
        <v>281</v>
      </c>
      <c r="F11" s="13" t="s">
        <v>13</v>
      </c>
      <c r="G11" s="13">
        <v>140152481</v>
      </c>
      <c r="H11" s="13" t="s">
        <v>26</v>
      </c>
      <c r="I11" s="5" t="s">
        <v>307</v>
      </c>
      <c r="J11" s="30">
        <v>404945164</v>
      </c>
      <c r="K11" s="13" t="s">
        <v>24</v>
      </c>
      <c r="L11" s="13" t="s">
        <v>36</v>
      </c>
      <c r="M11" s="3">
        <v>232516</v>
      </c>
      <c r="N11" s="13"/>
      <c r="O11" s="3">
        <f>14990+96889.91+113924.95</f>
        <v>225804.86</v>
      </c>
    </row>
    <row r="12" spans="1:15" s="4" customFormat="1" ht="22.5">
      <c r="A12" s="13">
        <v>10</v>
      </c>
      <c r="B12" s="13" t="s">
        <v>280</v>
      </c>
      <c r="C12" s="13" t="s">
        <v>15</v>
      </c>
      <c r="D12" s="13">
        <v>85100000</v>
      </c>
      <c r="E12" s="5" t="s">
        <v>281</v>
      </c>
      <c r="F12" s="13" t="s">
        <v>13</v>
      </c>
      <c r="G12" s="13">
        <v>140152561</v>
      </c>
      <c r="H12" s="13" t="s">
        <v>27</v>
      </c>
      <c r="I12" s="5" t="s">
        <v>306</v>
      </c>
      <c r="J12" s="30">
        <v>204954843</v>
      </c>
      <c r="K12" s="13" t="s">
        <v>24</v>
      </c>
      <c r="L12" s="13" t="s">
        <v>36</v>
      </c>
      <c r="M12" s="3">
        <v>187550.72</v>
      </c>
      <c r="N12" s="13"/>
      <c r="O12" s="3">
        <f>88059+89690.55+5638.79</f>
        <v>183388.34</v>
      </c>
    </row>
    <row r="13" spans="1:15" s="4" customFormat="1" ht="11.25">
      <c r="A13" s="13">
        <v>11</v>
      </c>
      <c r="B13" s="13" t="s">
        <v>280</v>
      </c>
      <c r="C13" s="13" t="s">
        <v>15</v>
      </c>
      <c r="D13" s="13">
        <v>85100000</v>
      </c>
      <c r="E13" s="5" t="s">
        <v>281</v>
      </c>
      <c r="F13" s="13" t="s">
        <v>13</v>
      </c>
      <c r="G13" s="13">
        <v>140152565</v>
      </c>
      <c r="H13" s="13" t="s">
        <v>28</v>
      </c>
      <c r="I13" s="5" t="s">
        <v>304</v>
      </c>
      <c r="J13" s="30">
        <v>203862855</v>
      </c>
      <c r="K13" s="13" t="s">
        <v>24</v>
      </c>
      <c r="L13" s="13" t="s">
        <v>36</v>
      </c>
      <c r="M13" s="3">
        <v>44760</v>
      </c>
      <c r="N13" s="13"/>
      <c r="O13" s="3">
        <f>4000+20964.27+18863.15</f>
        <v>43827.42</v>
      </c>
    </row>
    <row r="14" spans="1:15" s="4" customFormat="1" ht="11.25">
      <c r="A14" s="13">
        <v>12</v>
      </c>
      <c r="B14" s="13" t="s">
        <v>280</v>
      </c>
      <c r="C14" s="13" t="s">
        <v>15</v>
      </c>
      <c r="D14" s="13">
        <v>85100000</v>
      </c>
      <c r="E14" s="5" t="s">
        <v>281</v>
      </c>
      <c r="F14" s="13" t="s">
        <v>13</v>
      </c>
      <c r="G14" s="13">
        <v>140152572</v>
      </c>
      <c r="H14" s="13" t="s">
        <v>29</v>
      </c>
      <c r="I14" s="5" t="s">
        <v>303</v>
      </c>
      <c r="J14" s="30">
        <v>205176780</v>
      </c>
      <c r="K14" s="13" t="s">
        <v>24</v>
      </c>
      <c r="L14" s="13" t="s">
        <v>36</v>
      </c>
      <c r="M14" s="3">
        <v>482650.7</v>
      </c>
      <c r="N14" s="13"/>
      <c r="O14" s="3">
        <f>151783.63+68534+240853.7</f>
        <v>461171.33</v>
      </c>
    </row>
    <row r="15" spans="1:15" s="4" customFormat="1" ht="11.25">
      <c r="A15" s="13">
        <v>13</v>
      </c>
      <c r="B15" s="13" t="s">
        <v>280</v>
      </c>
      <c r="C15" s="13" t="s">
        <v>15</v>
      </c>
      <c r="D15" s="13">
        <v>85100000</v>
      </c>
      <c r="E15" s="5" t="s">
        <v>281</v>
      </c>
      <c r="F15" s="14" t="s">
        <v>283</v>
      </c>
      <c r="G15" s="13">
        <v>140020469</v>
      </c>
      <c r="H15" s="13" t="s">
        <v>30</v>
      </c>
      <c r="I15" s="5" t="s">
        <v>305</v>
      </c>
      <c r="J15" s="30">
        <v>203834716</v>
      </c>
      <c r="K15" s="13" t="s">
        <v>24</v>
      </c>
      <c r="L15" s="13" t="s">
        <v>298</v>
      </c>
      <c r="M15" s="3">
        <v>746949</v>
      </c>
      <c r="N15" s="13"/>
      <c r="O15" s="3">
        <f>25545.67+92458.34</f>
        <v>118004.01</v>
      </c>
    </row>
    <row r="16" spans="1:15" s="4" customFormat="1" ht="22.5">
      <c r="A16" s="13">
        <v>14</v>
      </c>
      <c r="B16" s="13" t="s">
        <v>280</v>
      </c>
      <c r="C16" s="13" t="s">
        <v>15</v>
      </c>
      <c r="D16" s="13">
        <v>85100000</v>
      </c>
      <c r="E16" s="5" t="s">
        <v>281</v>
      </c>
      <c r="F16" s="14" t="s">
        <v>283</v>
      </c>
      <c r="G16" s="13">
        <v>140024356</v>
      </c>
      <c r="H16" s="13" t="s">
        <v>31</v>
      </c>
      <c r="I16" s="5" t="s">
        <v>302</v>
      </c>
      <c r="J16" s="30">
        <v>212153756</v>
      </c>
      <c r="K16" s="1">
        <v>41971</v>
      </c>
      <c r="L16" s="1" t="s">
        <v>299</v>
      </c>
      <c r="M16" s="3">
        <v>1840150</v>
      </c>
      <c r="N16" s="13"/>
      <c r="O16" s="3"/>
    </row>
    <row r="17" spans="1:15" s="4" customFormat="1" ht="22.5">
      <c r="A17" s="13">
        <v>15</v>
      </c>
      <c r="B17" s="13" t="s">
        <v>280</v>
      </c>
      <c r="C17" s="13" t="s">
        <v>15</v>
      </c>
      <c r="D17" s="13">
        <v>85100000</v>
      </c>
      <c r="E17" s="5" t="s">
        <v>281</v>
      </c>
      <c r="F17" s="14" t="s">
        <v>283</v>
      </c>
      <c r="G17" s="13">
        <v>140024799</v>
      </c>
      <c r="H17" s="13" t="s">
        <v>32</v>
      </c>
      <c r="I17" s="5" t="s">
        <v>307</v>
      </c>
      <c r="J17" s="30">
        <v>404945164</v>
      </c>
      <c r="K17" s="1">
        <v>41971</v>
      </c>
      <c r="L17" s="1" t="s">
        <v>299</v>
      </c>
      <c r="M17" s="3">
        <v>1630443</v>
      </c>
      <c r="N17" s="13"/>
      <c r="O17" s="3"/>
    </row>
    <row r="18" spans="1:15" s="4" customFormat="1" ht="11.25">
      <c r="A18" s="13">
        <v>16</v>
      </c>
      <c r="B18" s="13" t="s">
        <v>280</v>
      </c>
      <c r="C18" s="13" t="s">
        <v>15</v>
      </c>
      <c r="D18" s="13">
        <v>85100000</v>
      </c>
      <c r="E18" s="5" t="s">
        <v>281</v>
      </c>
      <c r="F18" s="14" t="s">
        <v>283</v>
      </c>
      <c r="G18" s="13">
        <v>140024593</v>
      </c>
      <c r="H18" s="13" t="s">
        <v>33</v>
      </c>
      <c r="I18" s="5" t="s">
        <v>304</v>
      </c>
      <c r="J18" s="30">
        <v>203862855</v>
      </c>
      <c r="K18" s="1">
        <v>41971</v>
      </c>
      <c r="L18" s="1" t="s">
        <v>299</v>
      </c>
      <c r="M18" s="3">
        <v>327135</v>
      </c>
      <c r="N18" s="13"/>
      <c r="O18" s="3">
        <v>10000</v>
      </c>
    </row>
    <row r="19" spans="1:15" s="4" customFormat="1" ht="22.5">
      <c r="A19" s="13">
        <v>17</v>
      </c>
      <c r="B19" s="13" t="s">
        <v>280</v>
      </c>
      <c r="C19" s="13" t="s">
        <v>15</v>
      </c>
      <c r="D19" s="13">
        <v>85100000</v>
      </c>
      <c r="E19" s="5" t="s">
        <v>281</v>
      </c>
      <c r="F19" s="14" t="s">
        <v>283</v>
      </c>
      <c r="G19" s="13">
        <v>140024909</v>
      </c>
      <c r="H19" s="13" t="s">
        <v>34</v>
      </c>
      <c r="I19" s="5" t="s">
        <v>306</v>
      </c>
      <c r="J19" s="30">
        <v>204954843</v>
      </c>
      <c r="K19" s="1">
        <v>41974</v>
      </c>
      <c r="L19" s="1" t="s">
        <v>299</v>
      </c>
      <c r="M19" s="3">
        <v>1259180</v>
      </c>
      <c r="N19" s="13"/>
      <c r="O19" s="3">
        <v>63000</v>
      </c>
    </row>
    <row r="20" spans="1:15" s="4" customFormat="1" ht="11.25">
      <c r="A20" s="13">
        <v>18</v>
      </c>
      <c r="B20" s="13" t="s">
        <v>280</v>
      </c>
      <c r="C20" s="13" t="s">
        <v>15</v>
      </c>
      <c r="D20" s="13">
        <v>85100000</v>
      </c>
      <c r="E20" s="5" t="s">
        <v>281</v>
      </c>
      <c r="F20" s="14" t="s">
        <v>283</v>
      </c>
      <c r="G20" s="13">
        <v>140024798</v>
      </c>
      <c r="H20" s="13" t="s">
        <v>35</v>
      </c>
      <c r="I20" s="5" t="s">
        <v>303</v>
      </c>
      <c r="J20" s="30">
        <v>205176780</v>
      </c>
      <c r="K20" s="1">
        <v>41974</v>
      </c>
      <c r="L20" s="1" t="s">
        <v>299</v>
      </c>
      <c r="M20" s="3">
        <v>3211321</v>
      </c>
      <c r="N20" s="13"/>
      <c r="O20" s="3"/>
    </row>
    <row r="21" spans="1:15" s="4" customFormat="1" ht="22.5">
      <c r="A21" s="13">
        <v>19</v>
      </c>
      <c r="B21" s="13" t="s">
        <v>280</v>
      </c>
      <c r="C21" s="13" t="s">
        <v>12</v>
      </c>
      <c r="D21" s="13">
        <v>85100000</v>
      </c>
      <c r="E21" s="5" t="s">
        <v>281</v>
      </c>
      <c r="F21" s="14" t="s">
        <v>283</v>
      </c>
      <c r="G21" s="13">
        <v>140027747</v>
      </c>
      <c r="H21" s="13" t="s">
        <v>37</v>
      </c>
      <c r="I21" s="25" t="s">
        <v>301</v>
      </c>
      <c r="J21" s="30">
        <v>202172139</v>
      </c>
      <c r="K21" s="13" t="s">
        <v>36</v>
      </c>
      <c r="L21" s="13" t="s">
        <v>300</v>
      </c>
      <c r="M21" s="3">
        <v>1460797</v>
      </c>
      <c r="N21" s="13"/>
      <c r="O21" s="3"/>
    </row>
    <row r="22" spans="1:15" s="2" customFormat="1" ht="11.25">
      <c r="B22" s="13"/>
      <c r="C22" s="13"/>
      <c r="D22" s="13"/>
      <c r="E22" s="5"/>
      <c r="F22" s="13"/>
      <c r="G22" s="13"/>
      <c r="H22" s="13"/>
      <c r="I22" s="5"/>
      <c r="J22" s="13"/>
      <c r="K22" s="13"/>
      <c r="L22" s="13"/>
      <c r="M22" s="3"/>
      <c r="N22" s="13"/>
      <c r="O22" s="3"/>
    </row>
    <row r="23" spans="1:15" s="2" customFormat="1" ht="12.75">
      <c r="A23" s="13">
        <v>20</v>
      </c>
      <c r="B23" s="13" t="s">
        <v>280</v>
      </c>
      <c r="C23" s="13" t="s">
        <v>12</v>
      </c>
      <c r="D23" s="16">
        <v>64100000</v>
      </c>
      <c r="E23" s="5" t="s">
        <v>38</v>
      </c>
      <c r="F23" s="13" t="s">
        <v>13</v>
      </c>
      <c r="G23" s="13">
        <v>140083872</v>
      </c>
      <c r="H23" s="13" t="s">
        <v>40</v>
      </c>
      <c r="I23" s="5" t="s">
        <v>41</v>
      </c>
      <c r="J23" s="30">
        <v>201954965</v>
      </c>
      <c r="K23" s="1" t="s">
        <v>39</v>
      </c>
      <c r="L23" s="1">
        <v>41810</v>
      </c>
      <c r="M23" s="3">
        <v>104</v>
      </c>
      <c r="N23" s="16"/>
      <c r="O23" s="3">
        <v>104</v>
      </c>
    </row>
    <row r="24" spans="1:15" s="2" customFormat="1" ht="11.25">
      <c r="A24" s="13">
        <v>21</v>
      </c>
      <c r="B24" s="13" t="s">
        <v>280</v>
      </c>
      <c r="C24" s="13" t="s">
        <v>12</v>
      </c>
      <c r="D24" s="13">
        <v>30200000</v>
      </c>
      <c r="E24" s="5" t="s">
        <v>42</v>
      </c>
      <c r="F24" s="13" t="s">
        <v>43</v>
      </c>
      <c r="G24" s="13">
        <v>140083882</v>
      </c>
      <c r="H24" s="13" t="s">
        <v>45</v>
      </c>
      <c r="I24" s="5" t="s">
        <v>46</v>
      </c>
      <c r="J24" s="30">
        <v>204892964</v>
      </c>
      <c r="K24" s="1" t="s">
        <v>44</v>
      </c>
      <c r="L24" s="1">
        <v>42004</v>
      </c>
      <c r="M24" s="3">
        <f>782.99*6</f>
        <v>4697.9400000000005</v>
      </c>
      <c r="N24" s="13"/>
      <c r="O24" s="3">
        <v>4697.9399999999996</v>
      </c>
    </row>
    <row r="25" spans="1:15" s="2" customFormat="1" ht="22.5">
      <c r="A25" s="13">
        <v>22</v>
      </c>
      <c r="B25" s="13" t="s">
        <v>280</v>
      </c>
      <c r="C25" s="13" t="s">
        <v>12</v>
      </c>
      <c r="D25" s="13">
        <v>45300000</v>
      </c>
      <c r="E25" s="5" t="s">
        <v>47</v>
      </c>
      <c r="F25" s="13" t="s">
        <v>48</v>
      </c>
      <c r="G25" s="13">
        <v>140010916</v>
      </c>
      <c r="H25" s="13" t="s">
        <v>50</v>
      </c>
      <c r="I25" s="5" t="s">
        <v>51</v>
      </c>
      <c r="J25" s="30">
        <v>400052508</v>
      </c>
      <c r="K25" s="6" t="s">
        <v>49</v>
      </c>
      <c r="L25" s="1">
        <v>42139</v>
      </c>
      <c r="M25" s="3">
        <v>7699</v>
      </c>
      <c r="N25" s="13"/>
      <c r="O25" s="3">
        <v>7611.73</v>
      </c>
    </row>
    <row r="26" spans="1:15" s="2" customFormat="1" ht="11.25">
      <c r="A26" s="13">
        <v>23</v>
      </c>
      <c r="B26" s="13" t="s">
        <v>280</v>
      </c>
      <c r="C26" s="13" t="s">
        <v>12</v>
      </c>
      <c r="D26" s="13">
        <v>3010000</v>
      </c>
      <c r="E26" s="5" t="s">
        <v>52</v>
      </c>
      <c r="F26" s="13" t="s">
        <v>43</v>
      </c>
      <c r="G26" s="13">
        <v>140095334</v>
      </c>
      <c r="H26" s="13" t="s">
        <v>54</v>
      </c>
      <c r="I26" s="5" t="s">
        <v>55</v>
      </c>
      <c r="J26" s="7" t="s">
        <v>284</v>
      </c>
      <c r="K26" s="1" t="s">
        <v>53</v>
      </c>
      <c r="L26" s="1">
        <v>42004</v>
      </c>
      <c r="M26" s="3">
        <v>616</v>
      </c>
      <c r="N26" s="13"/>
      <c r="O26" s="3">
        <v>616</v>
      </c>
    </row>
    <row r="27" spans="1:15" s="2" customFormat="1" ht="11.25">
      <c r="A27" s="13">
        <v>24</v>
      </c>
      <c r="B27" s="13" t="s">
        <v>280</v>
      </c>
      <c r="C27" s="13" t="s">
        <v>56</v>
      </c>
      <c r="D27" s="13">
        <v>64200000</v>
      </c>
      <c r="E27" s="5" t="s">
        <v>57</v>
      </c>
      <c r="F27" s="13" t="s">
        <v>43</v>
      </c>
      <c r="G27" s="13">
        <v>140098732</v>
      </c>
      <c r="H27" s="13" t="s">
        <v>59</v>
      </c>
      <c r="I27" s="5" t="s">
        <v>60</v>
      </c>
      <c r="J27" s="30">
        <v>204876606</v>
      </c>
      <c r="K27" s="13" t="s">
        <v>58</v>
      </c>
      <c r="L27" s="1">
        <v>42035</v>
      </c>
      <c r="M27" s="3">
        <v>4860</v>
      </c>
      <c r="N27" s="13"/>
      <c r="O27" s="3">
        <v>1874.4199999999998</v>
      </c>
    </row>
    <row r="28" spans="1:15" s="2" customFormat="1" ht="11.25">
      <c r="A28" s="13">
        <v>25</v>
      </c>
      <c r="B28" s="13" t="s">
        <v>280</v>
      </c>
      <c r="C28" s="13" t="s">
        <v>12</v>
      </c>
      <c r="D28" s="13">
        <v>30200000</v>
      </c>
      <c r="E28" s="5" t="s">
        <v>61</v>
      </c>
      <c r="F28" s="13" t="s">
        <v>43</v>
      </c>
      <c r="G28" s="13">
        <v>140096275</v>
      </c>
      <c r="H28" s="13" t="s">
        <v>63</v>
      </c>
      <c r="I28" s="5" t="s">
        <v>64</v>
      </c>
      <c r="J28" s="30">
        <v>205043237</v>
      </c>
      <c r="K28" s="1" t="s">
        <v>62</v>
      </c>
      <c r="L28" s="1">
        <v>42004</v>
      </c>
      <c r="M28" s="3">
        <f>754.69*15</f>
        <v>11320.35</v>
      </c>
      <c r="N28" s="13"/>
      <c r="O28" s="3">
        <v>0</v>
      </c>
    </row>
    <row r="29" spans="1:15" s="2" customFormat="1" ht="11.25">
      <c r="A29" s="13">
        <v>26</v>
      </c>
      <c r="B29" s="13" t="s">
        <v>280</v>
      </c>
      <c r="C29" s="13" t="s">
        <v>12</v>
      </c>
      <c r="D29" s="13">
        <v>22800000</v>
      </c>
      <c r="E29" s="5" t="s">
        <v>65</v>
      </c>
      <c r="F29" s="13" t="s">
        <v>13</v>
      </c>
      <c r="G29" s="13">
        <v>140105467</v>
      </c>
      <c r="H29" s="13" t="s">
        <v>67</v>
      </c>
      <c r="I29" s="5" t="s">
        <v>68</v>
      </c>
      <c r="J29" s="30">
        <v>204533987</v>
      </c>
      <c r="K29" s="1" t="s">
        <v>66</v>
      </c>
      <c r="L29" s="1">
        <v>42004</v>
      </c>
      <c r="M29" s="3">
        <v>1708.75</v>
      </c>
      <c r="N29" s="13"/>
      <c r="O29" s="3">
        <v>1708.75</v>
      </c>
    </row>
    <row r="30" spans="1:15" s="2" customFormat="1" ht="11.25">
      <c r="A30" s="13">
        <v>27</v>
      </c>
      <c r="B30" s="13" t="s">
        <v>280</v>
      </c>
      <c r="C30" s="13" t="s">
        <v>56</v>
      </c>
      <c r="D30" s="13">
        <v>30100000</v>
      </c>
      <c r="E30" s="5" t="s">
        <v>65</v>
      </c>
      <c r="F30" s="13" t="s">
        <v>13</v>
      </c>
      <c r="G30" s="13">
        <v>140105607</v>
      </c>
      <c r="H30" s="13" t="s">
        <v>69</v>
      </c>
      <c r="I30" s="5" t="s">
        <v>68</v>
      </c>
      <c r="J30" s="30">
        <v>204533987</v>
      </c>
      <c r="K30" s="1" t="s">
        <v>66</v>
      </c>
      <c r="L30" s="1">
        <v>42004</v>
      </c>
      <c r="M30" s="3">
        <v>3969.35</v>
      </c>
      <c r="N30" s="13"/>
      <c r="O30" s="3">
        <v>3969.35</v>
      </c>
    </row>
    <row r="31" spans="1:15" s="2" customFormat="1" ht="11.25">
      <c r="A31" s="13">
        <v>28</v>
      </c>
      <c r="B31" s="13" t="s">
        <v>280</v>
      </c>
      <c r="C31" s="13" t="s">
        <v>56</v>
      </c>
      <c r="D31" s="13">
        <v>79500000</v>
      </c>
      <c r="E31" s="5" t="s">
        <v>70</v>
      </c>
      <c r="F31" s="13" t="s">
        <v>13</v>
      </c>
      <c r="G31" s="13">
        <v>140104861</v>
      </c>
      <c r="H31" s="13" t="s">
        <v>71</v>
      </c>
      <c r="I31" s="5" t="s">
        <v>72</v>
      </c>
      <c r="J31" s="30">
        <v>204544029</v>
      </c>
      <c r="K31" s="13" t="s">
        <v>66</v>
      </c>
      <c r="L31" s="1">
        <v>42004</v>
      </c>
      <c r="M31" s="3">
        <f>330.87+136.36</f>
        <v>467.23</v>
      </c>
      <c r="N31" s="13"/>
      <c r="O31" s="3">
        <v>467.23</v>
      </c>
    </row>
    <row r="32" spans="1:15" s="2" customFormat="1" ht="12.75">
      <c r="A32" s="13">
        <v>29</v>
      </c>
      <c r="B32" s="13" t="s">
        <v>280</v>
      </c>
      <c r="C32" s="13" t="s">
        <v>12</v>
      </c>
      <c r="D32" s="16">
        <v>64100000</v>
      </c>
      <c r="E32" s="5" t="s">
        <v>38</v>
      </c>
      <c r="F32" s="13" t="s">
        <v>13</v>
      </c>
      <c r="G32" s="13">
        <v>140119190</v>
      </c>
      <c r="H32" s="13" t="s">
        <v>74</v>
      </c>
      <c r="I32" s="5" t="s">
        <v>41</v>
      </c>
      <c r="J32" s="30">
        <v>201954965</v>
      </c>
      <c r="K32" s="1" t="s">
        <v>73</v>
      </c>
      <c r="L32" s="1">
        <v>41871</v>
      </c>
      <c r="M32" s="3">
        <v>104</v>
      </c>
      <c r="N32" s="16"/>
      <c r="O32" s="3">
        <v>104</v>
      </c>
    </row>
    <row r="33" spans="1:15" s="4" customFormat="1" ht="22.5">
      <c r="A33" s="13">
        <v>30</v>
      </c>
      <c r="B33" s="13" t="s">
        <v>280</v>
      </c>
      <c r="C33" s="13" t="s">
        <v>12</v>
      </c>
      <c r="D33" s="13">
        <v>63100000</v>
      </c>
      <c r="E33" s="5" t="s">
        <v>75</v>
      </c>
      <c r="F33" s="13" t="s">
        <v>48</v>
      </c>
      <c r="G33" s="13">
        <v>140015981</v>
      </c>
      <c r="H33" s="13" t="s">
        <v>77</v>
      </c>
      <c r="I33" s="25" t="s">
        <v>78</v>
      </c>
      <c r="J33" s="30">
        <v>404453426</v>
      </c>
      <c r="K33" s="13" t="s">
        <v>76</v>
      </c>
      <c r="L33" s="1">
        <v>42004</v>
      </c>
      <c r="M33" s="3">
        <v>1225</v>
      </c>
      <c r="N33" s="13"/>
      <c r="O33" s="3">
        <v>1225</v>
      </c>
    </row>
    <row r="34" spans="1:15" s="4" customFormat="1" ht="11.25">
      <c r="A34" s="13">
        <v>31</v>
      </c>
      <c r="B34" s="13" t="s">
        <v>280</v>
      </c>
      <c r="C34" s="13" t="s">
        <v>15</v>
      </c>
      <c r="D34" s="7" t="s">
        <v>308</v>
      </c>
      <c r="E34" s="5" t="s">
        <v>79</v>
      </c>
      <c r="F34" s="13" t="s">
        <v>43</v>
      </c>
      <c r="G34" s="13">
        <v>140122008</v>
      </c>
      <c r="H34" s="13" t="s">
        <v>80</v>
      </c>
      <c r="I34" s="25" t="s">
        <v>81</v>
      </c>
      <c r="J34" s="30">
        <v>204493002</v>
      </c>
      <c r="K34" s="1" t="s">
        <v>76</v>
      </c>
      <c r="L34" s="1">
        <v>42035</v>
      </c>
      <c r="M34" s="3">
        <v>2062.8000000000002</v>
      </c>
      <c r="N34" s="7"/>
      <c r="O34" s="3">
        <f>38.2+73.2+73.2+249</f>
        <v>433.6</v>
      </c>
    </row>
    <row r="35" spans="1:15" s="4" customFormat="1" ht="11.25">
      <c r="A35" s="13">
        <v>32</v>
      </c>
      <c r="B35" s="13" t="s">
        <v>280</v>
      </c>
      <c r="C35" s="13" t="s">
        <v>12</v>
      </c>
      <c r="D35" s="7" t="s">
        <v>308</v>
      </c>
      <c r="E35" s="5" t="s">
        <v>82</v>
      </c>
      <c r="F35" s="13" t="s">
        <v>43</v>
      </c>
      <c r="G35" s="13">
        <v>140122052</v>
      </c>
      <c r="H35" s="13" t="s">
        <v>84</v>
      </c>
      <c r="I35" s="25" t="s">
        <v>85</v>
      </c>
      <c r="J35" s="30">
        <v>204976302</v>
      </c>
      <c r="K35" s="1" t="s">
        <v>83</v>
      </c>
      <c r="L35" s="1">
        <v>42035</v>
      </c>
      <c r="M35" s="3">
        <v>88650</v>
      </c>
      <c r="N35" s="7"/>
      <c r="O35" s="3">
        <f>216.7+7599.29+547.66+498.7+6951.9+7069.39+399.3+6352.82+507.96</f>
        <v>30143.719999999998</v>
      </c>
    </row>
    <row r="36" spans="1:15" s="4" customFormat="1" ht="11.25">
      <c r="A36" s="13">
        <v>33</v>
      </c>
      <c r="B36" s="13" t="s">
        <v>280</v>
      </c>
      <c r="C36" s="13" t="s">
        <v>15</v>
      </c>
      <c r="D36" s="7" t="s">
        <v>308</v>
      </c>
      <c r="E36" s="5" t="s">
        <v>82</v>
      </c>
      <c r="F36" s="13" t="s">
        <v>43</v>
      </c>
      <c r="G36" s="13">
        <v>140122054</v>
      </c>
      <c r="H36" s="13" t="s">
        <v>86</v>
      </c>
      <c r="I36" s="25" t="s">
        <v>85</v>
      </c>
      <c r="J36" s="30">
        <v>204976302</v>
      </c>
      <c r="K36" s="1" t="s">
        <v>83</v>
      </c>
      <c r="L36" s="1">
        <v>42035</v>
      </c>
      <c r="M36" s="3">
        <v>98689.12</v>
      </c>
      <c r="N36" s="7"/>
      <c r="O36" s="3">
        <f>903.52+8521.14+9030.87+73.6+8144.61+92+11234.38+380.14</f>
        <v>38380.259999999995</v>
      </c>
    </row>
    <row r="37" spans="1:15" s="2" customFormat="1" ht="12.75">
      <c r="A37" s="13">
        <v>34</v>
      </c>
      <c r="B37" s="13" t="s">
        <v>280</v>
      </c>
      <c r="C37" s="13" t="s">
        <v>15</v>
      </c>
      <c r="D37" s="16">
        <v>15800000</v>
      </c>
      <c r="E37" s="5" t="s">
        <v>312</v>
      </c>
      <c r="F37" s="13" t="s">
        <v>13</v>
      </c>
      <c r="G37" s="13">
        <v>140122055</v>
      </c>
      <c r="H37" s="13" t="s">
        <v>88</v>
      </c>
      <c r="I37" s="25" t="s">
        <v>89</v>
      </c>
      <c r="J37" s="30">
        <v>206172078</v>
      </c>
      <c r="K37" s="1" t="s">
        <v>83</v>
      </c>
      <c r="L37" s="1">
        <v>41851</v>
      </c>
      <c r="M37" s="3">
        <v>583.79999999999995</v>
      </c>
      <c r="N37" s="16"/>
      <c r="O37" s="3">
        <v>583.79999999999995</v>
      </c>
    </row>
    <row r="38" spans="1:15" s="4" customFormat="1" ht="11.25">
      <c r="A38" s="13">
        <v>35</v>
      </c>
      <c r="B38" s="13" t="s">
        <v>280</v>
      </c>
      <c r="C38" s="13" t="s">
        <v>12</v>
      </c>
      <c r="D38" s="7" t="s">
        <v>308</v>
      </c>
      <c r="E38" s="5" t="s">
        <v>79</v>
      </c>
      <c r="F38" s="13" t="s">
        <v>43</v>
      </c>
      <c r="G38" s="13">
        <v>140122056</v>
      </c>
      <c r="H38" s="13" t="s">
        <v>90</v>
      </c>
      <c r="I38" s="25" t="s">
        <v>81</v>
      </c>
      <c r="J38" s="30">
        <v>204493002</v>
      </c>
      <c r="K38" s="1" t="s">
        <v>83</v>
      </c>
      <c r="L38" s="1">
        <v>42035</v>
      </c>
      <c r="M38" s="3">
        <v>8595</v>
      </c>
      <c r="N38" s="7"/>
      <c r="O38" s="3"/>
    </row>
    <row r="39" spans="1:15" s="2" customFormat="1" ht="12.75">
      <c r="A39" s="13">
        <v>36</v>
      </c>
      <c r="B39" s="13" t="s">
        <v>280</v>
      </c>
      <c r="C39" s="13" t="s">
        <v>12</v>
      </c>
      <c r="D39" s="16">
        <v>15900000</v>
      </c>
      <c r="E39" s="5" t="s">
        <v>313</v>
      </c>
      <c r="F39" s="13" t="s">
        <v>13</v>
      </c>
      <c r="G39" s="13">
        <v>140128150</v>
      </c>
      <c r="H39" s="13" t="s">
        <v>92</v>
      </c>
      <c r="I39" s="25" t="s">
        <v>93</v>
      </c>
      <c r="J39" s="30">
        <v>226146872</v>
      </c>
      <c r="K39" s="1" t="s">
        <v>91</v>
      </c>
      <c r="L39" s="1">
        <v>42004</v>
      </c>
      <c r="M39" s="3">
        <v>560.4</v>
      </c>
      <c r="N39" s="16"/>
      <c r="O39" s="3">
        <f>170.8+93.4</f>
        <v>264.20000000000005</v>
      </c>
    </row>
    <row r="40" spans="1:15" s="4" customFormat="1" ht="22.5">
      <c r="A40" s="13">
        <v>37</v>
      </c>
      <c r="B40" s="13" t="s">
        <v>280</v>
      </c>
      <c r="C40" s="13" t="s">
        <v>15</v>
      </c>
      <c r="D40" s="13">
        <v>79800000</v>
      </c>
      <c r="E40" s="5" t="s">
        <v>314</v>
      </c>
      <c r="F40" s="13" t="s">
        <v>48</v>
      </c>
      <c r="G40" s="13">
        <v>140018136</v>
      </c>
      <c r="H40" s="13" t="s">
        <v>94</v>
      </c>
      <c r="I40" s="25" t="s">
        <v>95</v>
      </c>
      <c r="J40" s="30">
        <v>401988890</v>
      </c>
      <c r="K40" s="1">
        <v>41862</v>
      </c>
      <c r="L40" s="1">
        <v>42004</v>
      </c>
      <c r="M40" s="3">
        <v>10340</v>
      </c>
      <c r="N40" s="13"/>
      <c r="O40" s="3">
        <v>10340</v>
      </c>
    </row>
    <row r="41" spans="1:15" s="2" customFormat="1" ht="12.75">
      <c r="A41" s="13">
        <v>38</v>
      </c>
      <c r="B41" s="13" t="s">
        <v>280</v>
      </c>
      <c r="C41" s="13" t="s">
        <v>15</v>
      </c>
      <c r="D41" s="16">
        <v>63100000</v>
      </c>
      <c r="E41" s="5" t="s">
        <v>315</v>
      </c>
      <c r="F41" s="13" t="s">
        <v>13</v>
      </c>
      <c r="G41" s="13">
        <v>140134665</v>
      </c>
      <c r="H41" s="13" t="s">
        <v>97</v>
      </c>
      <c r="I41" s="25" t="s">
        <v>98</v>
      </c>
      <c r="J41" s="30">
        <v>208145176</v>
      </c>
      <c r="K41" s="1" t="s">
        <v>96</v>
      </c>
      <c r="L41" s="1">
        <v>41988</v>
      </c>
      <c r="M41" s="3">
        <v>200</v>
      </c>
      <c r="N41" s="16"/>
      <c r="O41" s="3">
        <f>103.3+71.38</f>
        <v>174.68</v>
      </c>
    </row>
    <row r="42" spans="1:15" s="2" customFormat="1" ht="12.75">
      <c r="A42" s="13">
        <v>39</v>
      </c>
      <c r="B42" s="13" t="s">
        <v>280</v>
      </c>
      <c r="C42" s="13" t="s">
        <v>12</v>
      </c>
      <c r="D42" s="16">
        <v>64100000</v>
      </c>
      <c r="E42" s="5" t="s">
        <v>38</v>
      </c>
      <c r="F42" s="13" t="s">
        <v>13</v>
      </c>
      <c r="G42" s="13">
        <v>140134081</v>
      </c>
      <c r="H42" s="13" t="s">
        <v>100</v>
      </c>
      <c r="I42" s="25" t="s">
        <v>41</v>
      </c>
      <c r="J42" s="30">
        <v>201954965</v>
      </c>
      <c r="K42" s="1" t="s">
        <v>99</v>
      </c>
      <c r="L42" s="1">
        <v>41902</v>
      </c>
      <c r="M42" s="3">
        <v>102</v>
      </c>
      <c r="N42" s="16"/>
      <c r="O42" s="3">
        <v>102</v>
      </c>
    </row>
    <row r="43" spans="1:15" s="2" customFormat="1" ht="12.75">
      <c r="A43" s="13">
        <v>40</v>
      </c>
      <c r="B43" s="13" t="s">
        <v>280</v>
      </c>
      <c r="C43" s="13" t="s">
        <v>12</v>
      </c>
      <c r="D43" s="16">
        <v>72400000</v>
      </c>
      <c r="E43" s="5" t="s">
        <v>101</v>
      </c>
      <c r="F43" s="13" t="s">
        <v>13</v>
      </c>
      <c r="G43" s="13">
        <v>140137734</v>
      </c>
      <c r="H43" s="13" t="s">
        <v>103</v>
      </c>
      <c r="I43" s="25" t="s">
        <v>104</v>
      </c>
      <c r="J43" s="7" t="s">
        <v>285</v>
      </c>
      <c r="K43" s="1" t="s">
        <v>102</v>
      </c>
      <c r="L43" s="1">
        <v>42065</v>
      </c>
      <c r="M43" s="3">
        <v>1875</v>
      </c>
      <c r="N43" s="16"/>
      <c r="O43" s="3">
        <v>1875</v>
      </c>
    </row>
    <row r="44" spans="1:15" s="4" customFormat="1" ht="11.25">
      <c r="A44" s="13">
        <v>41</v>
      </c>
      <c r="B44" s="13" t="s">
        <v>280</v>
      </c>
      <c r="C44" s="13" t="s">
        <v>15</v>
      </c>
      <c r="D44" s="13">
        <v>33600000</v>
      </c>
      <c r="E44" s="5" t="s">
        <v>316</v>
      </c>
      <c r="F44" s="13" t="s">
        <v>295</v>
      </c>
      <c r="G44" s="13">
        <v>140017331</v>
      </c>
      <c r="H44" s="13" t="s">
        <v>105</v>
      </c>
      <c r="I44" s="5" t="s">
        <v>106</v>
      </c>
      <c r="J44" s="30">
        <v>201991229</v>
      </c>
      <c r="K44" s="1" t="s">
        <v>102</v>
      </c>
      <c r="L44" s="1">
        <v>42369</v>
      </c>
      <c r="M44" s="3">
        <v>999993.6</v>
      </c>
      <c r="N44" s="13"/>
      <c r="O44" s="3">
        <f>249998.4</f>
        <v>249998.4</v>
      </c>
    </row>
    <row r="45" spans="1:15" s="2" customFormat="1" ht="12.75">
      <c r="A45" s="13">
        <v>42</v>
      </c>
      <c r="B45" s="13" t="s">
        <v>280</v>
      </c>
      <c r="C45" s="13" t="s">
        <v>12</v>
      </c>
      <c r="D45" s="16">
        <v>39200000</v>
      </c>
      <c r="E45" s="5" t="s">
        <v>317</v>
      </c>
      <c r="F45" s="13" t="s">
        <v>13</v>
      </c>
      <c r="G45" s="13">
        <v>140138100</v>
      </c>
      <c r="H45" s="13" t="s">
        <v>107</v>
      </c>
      <c r="I45" s="5" t="s">
        <v>108</v>
      </c>
      <c r="J45" s="30">
        <v>205020905</v>
      </c>
      <c r="K45" s="1" t="s">
        <v>102</v>
      </c>
      <c r="L45" s="1">
        <v>41927</v>
      </c>
      <c r="M45" s="3">
        <v>524.79999999999995</v>
      </c>
      <c r="N45" s="16"/>
      <c r="O45" s="3">
        <v>524.79999999999995</v>
      </c>
    </row>
    <row r="46" spans="1:15" s="4" customFormat="1" ht="11.25">
      <c r="A46" s="13">
        <v>43</v>
      </c>
      <c r="B46" s="13" t="s">
        <v>280</v>
      </c>
      <c r="C46" s="13" t="s">
        <v>15</v>
      </c>
      <c r="D46" s="13">
        <v>33600000</v>
      </c>
      <c r="E46" s="5" t="s">
        <v>318</v>
      </c>
      <c r="F46" s="13" t="s">
        <v>295</v>
      </c>
      <c r="G46" s="13">
        <v>140018901</v>
      </c>
      <c r="H46" s="13" t="s">
        <v>109</v>
      </c>
      <c r="I46" s="5" t="s">
        <v>110</v>
      </c>
      <c r="J46" s="30">
        <v>201951209</v>
      </c>
      <c r="K46" s="1">
        <v>41880</v>
      </c>
      <c r="L46" s="1">
        <v>42016</v>
      </c>
      <c r="M46" s="3">
        <v>55944</v>
      </c>
      <c r="N46" s="13"/>
      <c r="O46" s="3">
        <f>8400+8400+39144</f>
        <v>55944</v>
      </c>
    </row>
    <row r="47" spans="1:15" s="4" customFormat="1" ht="11.25">
      <c r="A47" s="13">
        <v>44</v>
      </c>
      <c r="B47" s="13" t="s">
        <v>280</v>
      </c>
      <c r="C47" s="13" t="s">
        <v>15</v>
      </c>
      <c r="D47" s="13">
        <v>33600000</v>
      </c>
      <c r="E47" s="5" t="s">
        <v>319</v>
      </c>
      <c r="F47" s="13" t="s">
        <v>13</v>
      </c>
      <c r="G47" s="13">
        <v>140143832</v>
      </c>
      <c r="H47" s="8" t="s">
        <v>112</v>
      </c>
      <c r="I47" s="5" t="s">
        <v>113</v>
      </c>
      <c r="J47" s="30">
        <v>204927767</v>
      </c>
      <c r="K47" s="1" t="s">
        <v>111</v>
      </c>
      <c r="L47" s="1">
        <v>41929</v>
      </c>
      <c r="M47" s="3">
        <v>608.25</v>
      </c>
      <c r="N47" s="13"/>
      <c r="O47" s="3">
        <v>608.25</v>
      </c>
    </row>
    <row r="48" spans="1:15" s="4" customFormat="1" ht="11.25">
      <c r="A48" s="13">
        <v>45</v>
      </c>
      <c r="B48" s="13" t="s">
        <v>280</v>
      </c>
      <c r="C48" s="13" t="s">
        <v>12</v>
      </c>
      <c r="D48" s="13">
        <v>33600000</v>
      </c>
      <c r="E48" s="5" t="s">
        <v>319</v>
      </c>
      <c r="F48" s="13" t="s">
        <v>13</v>
      </c>
      <c r="G48" s="13">
        <v>140143840</v>
      </c>
      <c r="H48" s="13" t="s">
        <v>114</v>
      </c>
      <c r="I48" s="5" t="s">
        <v>113</v>
      </c>
      <c r="J48" s="30">
        <v>204927767</v>
      </c>
      <c r="K48" s="8" t="s">
        <v>111</v>
      </c>
      <c r="L48" s="1">
        <v>41929</v>
      </c>
      <c r="M48" s="3">
        <v>1572.2</v>
      </c>
      <c r="N48" s="13"/>
      <c r="O48" s="3">
        <v>232.2</v>
      </c>
    </row>
    <row r="49" spans="1:15" s="4" customFormat="1" ht="11.25">
      <c r="A49" s="13">
        <v>46</v>
      </c>
      <c r="B49" s="13" t="s">
        <v>280</v>
      </c>
      <c r="C49" s="13" t="s">
        <v>12</v>
      </c>
      <c r="D49" s="13">
        <v>33600000</v>
      </c>
      <c r="E49" s="5" t="s">
        <v>319</v>
      </c>
      <c r="F49" s="13" t="s">
        <v>13</v>
      </c>
      <c r="G49" s="13">
        <v>140143844</v>
      </c>
      <c r="H49" s="13" t="s">
        <v>115</v>
      </c>
      <c r="I49" s="5" t="s">
        <v>116</v>
      </c>
      <c r="J49" s="30">
        <v>211386695</v>
      </c>
      <c r="K49" s="8" t="s">
        <v>111</v>
      </c>
      <c r="L49" s="1">
        <v>41929</v>
      </c>
      <c r="M49" s="3">
        <v>121.8</v>
      </c>
      <c r="N49" s="13"/>
      <c r="O49" s="3">
        <v>121.8</v>
      </c>
    </row>
    <row r="50" spans="1:15" s="4" customFormat="1" ht="11.25">
      <c r="A50" s="13">
        <v>47</v>
      </c>
      <c r="B50" s="13" t="s">
        <v>280</v>
      </c>
      <c r="C50" s="13" t="s">
        <v>12</v>
      </c>
      <c r="D50" s="13">
        <v>33600000</v>
      </c>
      <c r="E50" s="5" t="s">
        <v>319</v>
      </c>
      <c r="F50" s="13" t="s">
        <v>13</v>
      </c>
      <c r="G50" s="13">
        <v>140143846</v>
      </c>
      <c r="H50" s="13" t="s">
        <v>117</v>
      </c>
      <c r="I50" s="5" t="s">
        <v>118</v>
      </c>
      <c r="J50" s="30">
        <v>202203123</v>
      </c>
      <c r="K50" s="8" t="s">
        <v>111</v>
      </c>
      <c r="L50" s="1">
        <v>41929</v>
      </c>
      <c r="M50" s="3">
        <v>1073.5</v>
      </c>
      <c r="N50" s="13"/>
      <c r="O50" s="3">
        <f>M50</f>
        <v>1073.5</v>
      </c>
    </row>
    <row r="51" spans="1:15" s="4" customFormat="1" ht="11.25">
      <c r="A51" s="13">
        <v>48</v>
      </c>
      <c r="B51" s="13" t="s">
        <v>280</v>
      </c>
      <c r="C51" s="13" t="s">
        <v>12</v>
      </c>
      <c r="D51" s="13">
        <v>33600000</v>
      </c>
      <c r="E51" s="5" t="s">
        <v>319</v>
      </c>
      <c r="F51" s="13" t="s">
        <v>13</v>
      </c>
      <c r="G51" s="13">
        <v>140143848</v>
      </c>
      <c r="H51" s="13" t="s">
        <v>119</v>
      </c>
      <c r="I51" s="5" t="s">
        <v>118</v>
      </c>
      <c r="J51" s="30">
        <v>202203123</v>
      </c>
      <c r="K51" s="8" t="s">
        <v>111</v>
      </c>
      <c r="L51" s="1">
        <v>41929</v>
      </c>
      <c r="M51" s="3">
        <v>199.8</v>
      </c>
      <c r="N51" s="13"/>
      <c r="O51" s="3">
        <v>0</v>
      </c>
    </row>
    <row r="52" spans="1:15" s="4" customFormat="1" ht="11.25">
      <c r="A52" s="13">
        <v>49</v>
      </c>
      <c r="B52" s="13" t="s">
        <v>280</v>
      </c>
      <c r="C52" s="13" t="s">
        <v>15</v>
      </c>
      <c r="D52" s="13">
        <v>50100000</v>
      </c>
      <c r="E52" s="24" t="s">
        <v>320</v>
      </c>
      <c r="F52" s="13" t="s">
        <v>13</v>
      </c>
      <c r="G52" s="13">
        <v>140143849</v>
      </c>
      <c r="H52" s="13" t="s">
        <v>120</v>
      </c>
      <c r="I52" s="5" t="s">
        <v>121</v>
      </c>
      <c r="J52" s="30">
        <v>200119923</v>
      </c>
      <c r="K52" s="8" t="s">
        <v>111</v>
      </c>
      <c r="L52" s="1">
        <v>41944</v>
      </c>
      <c r="M52" s="3">
        <v>398</v>
      </c>
      <c r="N52" s="13"/>
      <c r="O52" s="3">
        <v>280</v>
      </c>
    </row>
    <row r="53" spans="1:15" s="4" customFormat="1" ht="11.25">
      <c r="A53" s="13">
        <v>50</v>
      </c>
      <c r="B53" s="13" t="s">
        <v>280</v>
      </c>
      <c r="C53" s="13" t="s">
        <v>15</v>
      </c>
      <c r="D53" s="13">
        <v>63100000</v>
      </c>
      <c r="E53" s="5" t="s">
        <v>315</v>
      </c>
      <c r="F53" s="13" t="s">
        <v>13</v>
      </c>
      <c r="G53" s="13">
        <v>140143852</v>
      </c>
      <c r="H53" s="13" t="s">
        <v>122</v>
      </c>
      <c r="I53" s="5" t="s">
        <v>98</v>
      </c>
      <c r="J53" s="30">
        <v>208145176</v>
      </c>
      <c r="K53" s="8" t="s">
        <v>111</v>
      </c>
      <c r="L53" s="1">
        <v>41988</v>
      </c>
      <c r="M53" s="3">
        <v>300</v>
      </c>
      <c r="N53" s="13"/>
      <c r="O53" s="3">
        <f>146.55</f>
        <v>146.55000000000001</v>
      </c>
    </row>
    <row r="54" spans="1:15" s="4" customFormat="1" ht="22.5">
      <c r="A54" s="13">
        <v>51</v>
      </c>
      <c r="B54" s="13" t="s">
        <v>280</v>
      </c>
      <c r="C54" s="13" t="s">
        <v>15</v>
      </c>
      <c r="D54" s="13">
        <v>15900000</v>
      </c>
      <c r="E54" s="5" t="s">
        <v>321</v>
      </c>
      <c r="F54" s="13" t="s">
        <v>13</v>
      </c>
      <c r="G54" s="13">
        <v>140142784</v>
      </c>
      <c r="H54" s="13" t="s">
        <v>124</v>
      </c>
      <c r="I54" s="5" t="s">
        <v>89</v>
      </c>
      <c r="J54" s="30">
        <v>206172078</v>
      </c>
      <c r="K54" s="8" t="s">
        <v>123</v>
      </c>
      <c r="L54" s="1">
        <v>41912</v>
      </c>
      <c r="M54" s="3">
        <v>91.85</v>
      </c>
      <c r="N54" s="13"/>
      <c r="O54" s="3">
        <v>91.85</v>
      </c>
    </row>
    <row r="55" spans="1:15" s="4" customFormat="1" ht="22.5">
      <c r="A55" s="13">
        <v>52</v>
      </c>
      <c r="B55" s="13" t="s">
        <v>280</v>
      </c>
      <c r="C55" s="13" t="s">
        <v>15</v>
      </c>
      <c r="D55" s="13">
        <v>55300000</v>
      </c>
      <c r="E55" s="5" t="s">
        <v>322</v>
      </c>
      <c r="F55" s="13" t="s">
        <v>13</v>
      </c>
      <c r="G55" s="13">
        <v>140142804</v>
      </c>
      <c r="H55" s="13" t="s">
        <v>125</v>
      </c>
      <c r="I55" s="5" t="s">
        <v>126</v>
      </c>
      <c r="J55" s="30">
        <v>206172078</v>
      </c>
      <c r="K55" s="8" t="s">
        <v>111</v>
      </c>
      <c r="L55" s="1">
        <v>41912</v>
      </c>
      <c r="M55" s="3">
        <v>183.6</v>
      </c>
      <c r="N55" s="13"/>
      <c r="O55" s="3">
        <v>183.6</v>
      </c>
    </row>
    <row r="56" spans="1:15" s="4" customFormat="1" ht="11.25">
      <c r="A56" s="13">
        <v>53</v>
      </c>
      <c r="B56" s="13" t="s">
        <v>280</v>
      </c>
      <c r="C56" s="13" t="s">
        <v>12</v>
      </c>
      <c r="D56" s="13">
        <v>33600000</v>
      </c>
      <c r="E56" s="5" t="s">
        <v>323</v>
      </c>
      <c r="F56" s="13" t="s">
        <v>295</v>
      </c>
      <c r="G56" s="13">
        <v>140018508</v>
      </c>
      <c r="H56" s="13" t="s">
        <v>128</v>
      </c>
      <c r="I56" s="5" t="s">
        <v>129</v>
      </c>
      <c r="J56" s="30">
        <v>202203123</v>
      </c>
      <c r="K56" s="13" t="s">
        <v>127</v>
      </c>
      <c r="L56" s="1">
        <v>42035</v>
      </c>
      <c r="M56" s="3">
        <v>54688</v>
      </c>
      <c r="N56" s="13"/>
      <c r="O56" s="3">
        <v>54688</v>
      </c>
    </row>
    <row r="57" spans="1:15" s="2" customFormat="1" ht="11.25">
      <c r="A57" s="13">
        <v>54</v>
      </c>
      <c r="B57" s="13" t="s">
        <v>280</v>
      </c>
      <c r="C57" s="13" t="s">
        <v>15</v>
      </c>
      <c r="D57" s="13">
        <v>33600000</v>
      </c>
      <c r="E57" s="24" t="s">
        <v>324</v>
      </c>
      <c r="F57" s="13" t="s">
        <v>295</v>
      </c>
      <c r="G57" s="13">
        <v>140019099</v>
      </c>
      <c r="H57" s="13" t="s">
        <v>130</v>
      </c>
      <c r="I57" s="5" t="s">
        <v>106</v>
      </c>
      <c r="J57" s="30">
        <v>201991229</v>
      </c>
      <c r="K57" s="8" t="s">
        <v>127</v>
      </c>
      <c r="L57" s="1">
        <v>42035</v>
      </c>
      <c r="M57" s="3">
        <v>83520</v>
      </c>
      <c r="N57" s="13"/>
      <c r="O57" s="3">
        <v>83520</v>
      </c>
    </row>
    <row r="58" spans="1:15" s="2" customFormat="1" ht="22.5">
      <c r="A58" s="13">
        <v>55</v>
      </c>
      <c r="B58" s="13" t="s">
        <v>280</v>
      </c>
      <c r="C58" s="13" t="s">
        <v>15</v>
      </c>
      <c r="D58" s="13">
        <v>33600000</v>
      </c>
      <c r="E58" s="11" t="s">
        <v>325</v>
      </c>
      <c r="F58" s="14" t="s">
        <v>295</v>
      </c>
      <c r="G58" s="13">
        <v>140019423</v>
      </c>
      <c r="H58" s="13" t="s">
        <v>132</v>
      </c>
      <c r="I58" s="5" t="s">
        <v>133</v>
      </c>
      <c r="J58" s="30">
        <v>204955628</v>
      </c>
      <c r="K58" s="8" t="s">
        <v>131</v>
      </c>
      <c r="L58" s="1">
        <v>42035</v>
      </c>
      <c r="M58" s="3">
        <v>59880</v>
      </c>
      <c r="N58" s="13"/>
      <c r="O58" s="3">
        <v>59880</v>
      </c>
    </row>
    <row r="59" spans="1:15" s="2" customFormat="1" ht="11.25">
      <c r="A59" s="13">
        <v>56</v>
      </c>
      <c r="B59" s="13" t="s">
        <v>280</v>
      </c>
      <c r="C59" s="13" t="s">
        <v>12</v>
      </c>
      <c r="D59" s="13">
        <v>38400000</v>
      </c>
      <c r="E59" s="11" t="s">
        <v>356</v>
      </c>
      <c r="F59" s="13" t="s">
        <v>369</v>
      </c>
      <c r="G59" s="13">
        <v>140020008</v>
      </c>
      <c r="H59" s="13" t="s">
        <v>134</v>
      </c>
      <c r="I59" s="5" t="s">
        <v>106</v>
      </c>
      <c r="J59" s="30">
        <v>201991229</v>
      </c>
      <c r="K59" s="8" t="s">
        <v>131</v>
      </c>
      <c r="L59" s="1">
        <v>42035</v>
      </c>
      <c r="M59" s="3">
        <v>48500</v>
      </c>
      <c r="N59" s="13"/>
      <c r="O59" s="3">
        <f>25000+23350+150</f>
        <v>48500</v>
      </c>
    </row>
    <row r="60" spans="1:15" s="2" customFormat="1" ht="11.25">
      <c r="A60" s="13">
        <v>57</v>
      </c>
      <c r="B60" s="13" t="s">
        <v>280</v>
      </c>
      <c r="C60" s="13" t="s">
        <v>12</v>
      </c>
      <c r="D60" s="13">
        <v>38400000</v>
      </c>
      <c r="E60" s="11" t="s">
        <v>356</v>
      </c>
      <c r="F60" s="13" t="s">
        <v>369</v>
      </c>
      <c r="G60" s="13">
        <v>140020007</v>
      </c>
      <c r="H60" s="13" t="s">
        <v>135</v>
      </c>
      <c r="I60" s="25" t="s">
        <v>136</v>
      </c>
      <c r="J60" s="30">
        <v>205202029</v>
      </c>
      <c r="K60" s="13" t="s">
        <v>24</v>
      </c>
      <c r="L60" s="1">
        <v>42035</v>
      </c>
      <c r="M60" s="3">
        <v>35229</v>
      </c>
      <c r="N60" s="13"/>
      <c r="O60" s="3">
        <v>28222.799999999999</v>
      </c>
    </row>
    <row r="61" spans="1:15" s="2" customFormat="1" ht="11.25">
      <c r="A61" s="13">
        <v>58</v>
      </c>
      <c r="B61" s="13" t="s">
        <v>280</v>
      </c>
      <c r="C61" s="13" t="s">
        <v>15</v>
      </c>
      <c r="D61" s="13">
        <v>63700000</v>
      </c>
      <c r="E61" s="24" t="s">
        <v>137</v>
      </c>
      <c r="F61" s="13" t="s">
        <v>13</v>
      </c>
      <c r="G61" s="13">
        <v>140152594</v>
      </c>
      <c r="H61" s="13" t="s">
        <v>139</v>
      </c>
      <c r="I61" s="5" t="s">
        <v>140</v>
      </c>
      <c r="J61" s="30">
        <v>204543770</v>
      </c>
      <c r="K61" s="13" t="s">
        <v>138</v>
      </c>
      <c r="L61" s="1">
        <v>42318</v>
      </c>
      <c r="M61" s="3">
        <v>150</v>
      </c>
      <c r="N61" s="13"/>
      <c r="O61" s="3">
        <v>150</v>
      </c>
    </row>
    <row r="62" spans="1:15" s="2" customFormat="1" ht="11.25">
      <c r="A62" s="13">
        <v>59</v>
      </c>
      <c r="B62" s="13" t="s">
        <v>280</v>
      </c>
      <c r="C62" s="13" t="s">
        <v>15</v>
      </c>
      <c r="D62" s="13">
        <v>33600000</v>
      </c>
      <c r="E62" s="24" t="s">
        <v>326</v>
      </c>
      <c r="F62" s="13" t="s">
        <v>295</v>
      </c>
      <c r="G62" s="13">
        <v>140018742</v>
      </c>
      <c r="H62" s="13" t="s">
        <v>142</v>
      </c>
      <c r="I62" s="5" t="s">
        <v>143</v>
      </c>
      <c r="J62" s="30">
        <v>400096999</v>
      </c>
      <c r="K62" s="13" t="s">
        <v>141</v>
      </c>
      <c r="L62" s="1">
        <v>42035</v>
      </c>
      <c r="M62" s="3">
        <v>285000</v>
      </c>
      <c r="N62" s="13"/>
      <c r="O62" s="3">
        <f>137500+125000+22500</f>
        <v>285000</v>
      </c>
    </row>
    <row r="63" spans="1:15" s="4" customFormat="1" ht="11.25">
      <c r="A63" s="13">
        <v>60</v>
      </c>
      <c r="B63" s="13" t="s">
        <v>280</v>
      </c>
      <c r="C63" s="13" t="s">
        <v>15</v>
      </c>
      <c r="D63" s="13">
        <v>33600000</v>
      </c>
      <c r="E63" s="24" t="s">
        <v>327</v>
      </c>
      <c r="F63" s="13" t="s">
        <v>295</v>
      </c>
      <c r="G63" s="13">
        <v>140019717</v>
      </c>
      <c r="H63" s="13" t="s">
        <v>145</v>
      </c>
      <c r="I63" s="5" t="s">
        <v>106</v>
      </c>
      <c r="J63" s="30">
        <v>201991229</v>
      </c>
      <c r="K63" s="8" t="s">
        <v>144</v>
      </c>
      <c r="L63" s="1">
        <v>42035</v>
      </c>
      <c r="M63" s="3">
        <v>20196</v>
      </c>
      <c r="N63" s="13"/>
      <c r="O63" s="3">
        <v>20196</v>
      </c>
    </row>
    <row r="64" spans="1:15" s="2" customFormat="1" ht="22.5">
      <c r="A64" s="13">
        <v>61</v>
      </c>
      <c r="B64" s="13" t="s">
        <v>280</v>
      </c>
      <c r="C64" s="13" t="s">
        <v>15</v>
      </c>
      <c r="D64" s="13">
        <v>33600000</v>
      </c>
      <c r="E64" s="24" t="s">
        <v>328</v>
      </c>
      <c r="F64" s="14" t="s">
        <v>295</v>
      </c>
      <c r="G64" s="13">
        <v>140019619</v>
      </c>
      <c r="H64" s="13" t="s">
        <v>147</v>
      </c>
      <c r="I64" s="5" t="s">
        <v>148</v>
      </c>
      <c r="J64" s="30">
        <v>204552741</v>
      </c>
      <c r="K64" s="8" t="s">
        <v>146</v>
      </c>
      <c r="L64" s="1">
        <v>42035</v>
      </c>
      <c r="M64" s="3">
        <v>92110</v>
      </c>
      <c r="N64" s="13"/>
      <c r="O64" s="3">
        <v>63640</v>
      </c>
    </row>
    <row r="65" spans="1:15" s="4" customFormat="1" ht="11.25">
      <c r="A65" s="13">
        <v>62</v>
      </c>
      <c r="B65" s="13" t="s">
        <v>280</v>
      </c>
      <c r="C65" s="13" t="s">
        <v>15</v>
      </c>
      <c r="D65" s="13">
        <v>33600000</v>
      </c>
      <c r="E65" s="5" t="s">
        <v>329</v>
      </c>
      <c r="F65" s="13" t="s">
        <v>295</v>
      </c>
      <c r="G65" s="13">
        <v>140020003</v>
      </c>
      <c r="H65" s="13" t="s">
        <v>150</v>
      </c>
      <c r="I65" s="5" t="s">
        <v>106</v>
      </c>
      <c r="J65" s="30">
        <v>201991229</v>
      </c>
      <c r="K65" s="13" t="s">
        <v>149</v>
      </c>
      <c r="L65" s="1">
        <v>42035</v>
      </c>
      <c r="M65" s="3">
        <v>10885</v>
      </c>
      <c r="N65" s="13"/>
      <c r="O65" s="3">
        <v>10885</v>
      </c>
    </row>
    <row r="66" spans="1:15" s="4" customFormat="1" ht="11.25">
      <c r="A66" s="13">
        <v>63</v>
      </c>
      <c r="B66" s="13" t="s">
        <v>280</v>
      </c>
      <c r="C66" s="13" t="s">
        <v>15</v>
      </c>
      <c r="D66" s="13">
        <v>33600000</v>
      </c>
      <c r="E66" s="5" t="s">
        <v>330</v>
      </c>
      <c r="F66" s="13" t="s">
        <v>295</v>
      </c>
      <c r="G66" s="13">
        <v>140020004</v>
      </c>
      <c r="H66" s="13" t="s">
        <v>151</v>
      </c>
      <c r="I66" s="5" t="s">
        <v>106</v>
      </c>
      <c r="J66" s="30">
        <v>201991229</v>
      </c>
      <c r="K66" s="13" t="s">
        <v>149</v>
      </c>
      <c r="L66" s="1">
        <v>42035</v>
      </c>
      <c r="M66" s="3">
        <v>4869</v>
      </c>
      <c r="N66" s="13"/>
      <c r="O66" s="3">
        <v>4868.8</v>
      </c>
    </row>
    <row r="67" spans="1:15" s="4" customFormat="1" ht="22.5">
      <c r="A67" s="13">
        <v>64</v>
      </c>
      <c r="B67" s="13" t="s">
        <v>280</v>
      </c>
      <c r="C67" s="13" t="s">
        <v>12</v>
      </c>
      <c r="D67" s="13">
        <v>33600000</v>
      </c>
      <c r="E67" s="5" t="s">
        <v>331</v>
      </c>
      <c r="F67" s="14" t="s">
        <v>295</v>
      </c>
      <c r="G67" s="13">
        <v>140020190</v>
      </c>
      <c r="H67" s="13" t="s">
        <v>152</v>
      </c>
      <c r="I67" s="5" t="s">
        <v>153</v>
      </c>
      <c r="J67" s="30">
        <v>204963851</v>
      </c>
      <c r="K67" s="13" t="s">
        <v>149</v>
      </c>
      <c r="L67" s="1">
        <v>42035</v>
      </c>
      <c r="M67" s="3">
        <v>9775</v>
      </c>
      <c r="N67" s="13"/>
      <c r="O67" s="3">
        <v>9775</v>
      </c>
    </row>
    <row r="68" spans="1:15" s="4" customFormat="1" ht="11.25">
      <c r="A68" s="13">
        <v>65</v>
      </c>
      <c r="B68" s="13" t="s">
        <v>280</v>
      </c>
      <c r="C68" s="13" t="s">
        <v>12</v>
      </c>
      <c r="D68" s="13">
        <v>33600000</v>
      </c>
      <c r="E68" s="5" t="s">
        <v>332</v>
      </c>
      <c r="F68" s="14" t="s">
        <v>295</v>
      </c>
      <c r="G68" s="13">
        <v>140020189</v>
      </c>
      <c r="H68" s="13" t="s">
        <v>154</v>
      </c>
      <c r="I68" s="5" t="s">
        <v>136</v>
      </c>
      <c r="J68" s="30">
        <v>205202029</v>
      </c>
      <c r="K68" s="13" t="s">
        <v>149</v>
      </c>
      <c r="L68" s="1">
        <v>42035</v>
      </c>
      <c r="M68" s="3">
        <v>3890</v>
      </c>
      <c r="N68" s="13"/>
      <c r="O68" s="3">
        <v>3890</v>
      </c>
    </row>
    <row r="69" spans="1:15" s="4" customFormat="1" ht="11.25">
      <c r="A69" s="13">
        <v>66</v>
      </c>
      <c r="B69" s="13" t="s">
        <v>280</v>
      </c>
      <c r="C69" s="13" t="s">
        <v>12</v>
      </c>
      <c r="D69" s="13">
        <v>33600000</v>
      </c>
      <c r="E69" s="5" t="s">
        <v>357</v>
      </c>
      <c r="F69" s="14" t="s">
        <v>295</v>
      </c>
      <c r="G69" s="13">
        <v>140020192</v>
      </c>
      <c r="H69" s="13" t="s">
        <v>155</v>
      </c>
      <c r="I69" s="5" t="s">
        <v>156</v>
      </c>
      <c r="J69" s="30">
        <v>404412033</v>
      </c>
      <c r="K69" s="13" t="s">
        <v>149</v>
      </c>
      <c r="L69" s="1">
        <v>42035</v>
      </c>
      <c r="M69" s="3">
        <v>3580</v>
      </c>
      <c r="N69" s="13"/>
      <c r="O69" s="3">
        <v>3580</v>
      </c>
    </row>
    <row r="70" spans="1:15" s="2" customFormat="1" ht="22.5">
      <c r="A70" s="13">
        <v>67</v>
      </c>
      <c r="B70" s="13" t="s">
        <v>280</v>
      </c>
      <c r="C70" s="13" t="s">
        <v>15</v>
      </c>
      <c r="D70" s="13">
        <v>33600000</v>
      </c>
      <c r="E70" s="9" t="s">
        <v>333</v>
      </c>
      <c r="F70" s="14" t="s">
        <v>295</v>
      </c>
      <c r="G70" s="13">
        <v>140019971</v>
      </c>
      <c r="H70" s="13" t="s">
        <v>158</v>
      </c>
      <c r="I70" s="5" t="s">
        <v>106</v>
      </c>
      <c r="J70" s="30">
        <v>201991229</v>
      </c>
      <c r="K70" s="13" t="s">
        <v>157</v>
      </c>
      <c r="L70" s="1">
        <v>42035</v>
      </c>
      <c r="M70" s="3">
        <f>13032+84720</f>
        <v>97752</v>
      </c>
      <c r="N70" s="13"/>
      <c r="O70" s="3">
        <f>13032+84720</f>
        <v>97752</v>
      </c>
    </row>
    <row r="71" spans="1:15" s="4" customFormat="1" ht="11.25">
      <c r="A71" s="13">
        <v>68</v>
      </c>
      <c r="B71" s="13" t="s">
        <v>280</v>
      </c>
      <c r="C71" s="13" t="s">
        <v>12</v>
      </c>
      <c r="D71" s="13">
        <v>33600000</v>
      </c>
      <c r="E71" s="5" t="s">
        <v>334</v>
      </c>
      <c r="F71" s="13" t="s">
        <v>295</v>
      </c>
      <c r="G71" s="13">
        <v>140020093</v>
      </c>
      <c r="H71" s="13" t="s">
        <v>159</v>
      </c>
      <c r="I71" s="5" t="s">
        <v>160</v>
      </c>
      <c r="J71" s="30">
        <v>204927767</v>
      </c>
      <c r="K71" s="13" t="s">
        <v>157</v>
      </c>
      <c r="L71" s="1">
        <v>42035</v>
      </c>
      <c r="M71" s="3">
        <v>23190</v>
      </c>
      <c r="N71" s="13"/>
      <c r="O71" s="3">
        <f>2596.58+8786.22</f>
        <v>11382.8</v>
      </c>
    </row>
    <row r="72" spans="1:15" s="4" customFormat="1" ht="11.25">
      <c r="A72" s="13">
        <v>69</v>
      </c>
      <c r="B72" s="13" t="s">
        <v>280</v>
      </c>
      <c r="C72" s="13" t="s">
        <v>15</v>
      </c>
      <c r="D72" s="13">
        <v>33600000</v>
      </c>
      <c r="E72" s="10" t="s">
        <v>335</v>
      </c>
      <c r="F72" s="14" t="s">
        <v>295</v>
      </c>
      <c r="G72" s="13">
        <v>140020187</v>
      </c>
      <c r="H72" s="13" t="s">
        <v>161</v>
      </c>
      <c r="I72" s="5" t="s">
        <v>153</v>
      </c>
      <c r="J72" s="30">
        <v>204963851</v>
      </c>
      <c r="K72" s="13" t="s">
        <v>157</v>
      </c>
      <c r="L72" s="1">
        <v>42004</v>
      </c>
      <c r="M72" s="3">
        <v>138304</v>
      </c>
      <c r="N72" s="13"/>
      <c r="O72" s="3">
        <v>69387.8</v>
      </c>
    </row>
    <row r="73" spans="1:15" s="4" customFormat="1" ht="11.25">
      <c r="A73" s="13">
        <v>70</v>
      </c>
      <c r="B73" s="13" t="s">
        <v>280</v>
      </c>
      <c r="C73" s="13" t="s">
        <v>12</v>
      </c>
      <c r="D73" s="13">
        <v>33600000</v>
      </c>
      <c r="E73" s="5" t="s">
        <v>358</v>
      </c>
      <c r="F73" s="14" t="s">
        <v>295</v>
      </c>
      <c r="G73" s="13">
        <v>140020191</v>
      </c>
      <c r="H73" s="13" t="s">
        <v>163</v>
      </c>
      <c r="I73" s="5" t="s">
        <v>106</v>
      </c>
      <c r="J73" s="30">
        <v>201991229</v>
      </c>
      <c r="K73" s="13" t="s">
        <v>162</v>
      </c>
      <c r="L73" s="1">
        <v>42035</v>
      </c>
      <c r="M73" s="3">
        <v>21694</v>
      </c>
      <c r="N73" s="13"/>
      <c r="O73" s="3">
        <v>21684</v>
      </c>
    </row>
    <row r="74" spans="1:15" s="4" customFormat="1" ht="22.5">
      <c r="A74" s="13">
        <v>71</v>
      </c>
      <c r="B74" s="13" t="s">
        <v>280</v>
      </c>
      <c r="C74" s="13" t="s">
        <v>12</v>
      </c>
      <c r="D74" s="13">
        <v>33600000</v>
      </c>
      <c r="E74" s="5" t="s">
        <v>336</v>
      </c>
      <c r="F74" s="13" t="s">
        <v>295</v>
      </c>
      <c r="G74" s="13">
        <v>140020095</v>
      </c>
      <c r="H74" s="13" t="s">
        <v>164</v>
      </c>
      <c r="I74" s="5" t="s">
        <v>129</v>
      </c>
      <c r="J74" s="30">
        <v>202203123</v>
      </c>
      <c r="K74" s="13" t="s">
        <v>162</v>
      </c>
      <c r="L74" s="1">
        <v>42035</v>
      </c>
      <c r="M74" s="3">
        <v>5485</v>
      </c>
      <c r="N74" s="13"/>
      <c r="O74" s="3">
        <v>5484.9</v>
      </c>
    </row>
    <row r="75" spans="1:15" s="2" customFormat="1" ht="11.25">
      <c r="A75" s="13">
        <v>72</v>
      </c>
      <c r="B75" s="13" t="s">
        <v>280</v>
      </c>
      <c r="C75" s="13" t="s">
        <v>165</v>
      </c>
      <c r="D75" s="13">
        <v>33600000</v>
      </c>
      <c r="E75" s="11" t="s">
        <v>359</v>
      </c>
      <c r="F75" s="14" t="s">
        <v>295</v>
      </c>
      <c r="G75" s="13">
        <v>140019710</v>
      </c>
      <c r="H75" s="13" t="s">
        <v>167</v>
      </c>
      <c r="I75" s="5" t="s">
        <v>168</v>
      </c>
      <c r="J75" s="30">
        <v>205000773</v>
      </c>
      <c r="K75" s="8" t="s">
        <v>166</v>
      </c>
      <c r="L75" s="1">
        <v>42035</v>
      </c>
      <c r="M75" s="3">
        <v>38497.61</v>
      </c>
      <c r="N75" s="13"/>
      <c r="O75" s="3">
        <f>460.36+920.72+2071.62+4603.6+30441.29</f>
        <v>38497.590000000004</v>
      </c>
    </row>
    <row r="76" spans="1:15" s="2" customFormat="1" ht="11.25">
      <c r="A76" s="13">
        <v>73</v>
      </c>
      <c r="B76" s="13" t="s">
        <v>280</v>
      </c>
      <c r="C76" s="13" t="s">
        <v>15</v>
      </c>
      <c r="D76" s="13">
        <v>33600000</v>
      </c>
      <c r="E76" s="11" t="s">
        <v>359</v>
      </c>
      <c r="F76" s="14" t="s">
        <v>295</v>
      </c>
      <c r="G76" s="13">
        <v>140019716</v>
      </c>
      <c r="H76" s="13" t="s">
        <v>170</v>
      </c>
      <c r="I76" s="5" t="s">
        <v>156</v>
      </c>
      <c r="J76" s="30">
        <v>404412033</v>
      </c>
      <c r="K76" s="8" t="s">
        <v>169</v>
      </c>
      <c r="L76" s="1">
        <v>42035</v>
      </c>
      <c r="M76" s="3">
        <v>42357.36</v>
      </c>
      <c r="N76" s="13"/>
      <c r="O76" s="3">
        <f>3975.83+626.04+37755.49</f>
        <v>42357.36</v>
      </c>
    </row>
    <row r="77" spans="1:15" s="2" customFormat="1" ht="11.25">
      <c r="A77" s="13">
        <v>74</v>
      </c>
      <c r="B77" s="13" t="s">
        <v>280</v>
      </c>
      <c r="C77" s="13" t="s">
        <v>15</v>
      </c>
      <c r="D77" s="13">
        <v>33600000</v>
      </c>
      <c r="E77" s="11" t="s">
        <v>360</v>
      </c>
      <c r="F77" s="14" t="s">
        <v>295</v>
      </c>
      <c r="G77" s="13">
        <v>140019720</v>
      </c>
      <c r="H77" s="14" t="s">
        <v>171</v>
      </c>
      <c r="I77" s="26" t="s">
        <v>156</v>
      </c>
      <c r="J77" s="30">
        <v>404412033</v>
      </c>
      <c r="K77" s="14" t="s">
        <v>169</v>
      </c>
      <c r="L77" s="1">
        <v>42035</v>
      </c>
      <c r="M77" s="28">
        <v>15380.68</v>
      </c>
      <c r="N77" s="13"/>
      <c r="O77" s="3">
        <f>1850.16+587.5+10673.02</f>
        <v>13110.68</v>
      </c>
    </row>
    <row r="78" spans="1:15" s="4" customFormat="1" ht="11.25">
      <c r="A78" s="13">
        <v>75</v>
      </c>
      <c r="B78" s="13" t="s">
        <v>280</v>
      </c>
      <c r="C78" s="13" t="s">
        <v>12</v>
      </c>
      <c r="D78" s="13">
        <v>33600000</v>
      </c>
      <c r="E78" s="5" t="s">
        <v>319</v>
      </c>
      <c r="F78" s="13" t="s">
        <v>13</v>
      </c>
      <c r="G78" s="13">
        <v>140160415</v>
      </c>
      <c r="H78" s="13" t="s">
        <v>172</v>
      </c>
      <c r="I78" s="26" t="s">
        <v>173</v>
      </c>
      <c r="J78" s="7" t="s">
        <v>286</v>
      </c>
      <c r="K78" s="14" t="s">
        <v>169</v>
      </c>
      <c r="L78" s="1">
        <v>42369</v>
      </c>
      <c r="M78" s="12">
        <v>2865606.32</v>
      </c>
      <c r="N78" s="13"/>
      <c r="O78" s="12">
        <v>2865606.32</v>
      </c>
    </row>
    <row r="79" spans="1:15" s="4" customFormat="1" ht="11.25">
      <c r="A79" s="13">
        <v>76</v>
      </c>
      <c r="B79" s="13" t="s">
        <v>280</v>
      </c>
      <c r="C79" s="13" t="s">
        <v>12</v>
      </c>
      <c r="D79" s="13">
        <v>33600000</v>
      </c>
      <c r="E79" s="5" t="s">
        <v>319</v>
      </c>
      <c r="F79" s="13" t="s">
        <v>13</v>
      </c>
      <c r="G79" s="13">
        <v>140160414</v>
      </c>
      <c r="H79" s="13" t="s">
        <v>175</v>
      </c>
      <c r="I79" s="26" t="s">
        <v>173</v>
      </c>
      <c r="J79" s="7" t="s">
        <v>286</v>
      </c>
      <c r="K79" s="14" t="s">
        <v>174</v>
      </c>
      <c r="L79" s="1">
        <v>42369</v>
      </c>
      <c r="M79" s="12">
        <v>128249.98</v>
      </c>
      <c r="N79" s="13"/>
      <c r="O79" s="12">
        <v>128249.98</v>
      </c>
    </row>
    <row r="80" spans="1:15" s="4" customFormat="1" ht="11.25">
      <c r="A80" s="13">
        <v>77</v>
      </c>
      <c r="B80" s="13" t="s">
        <v>280</v>
      </c>
      <c r="C80" s="13" t="s">
        <v>12</v>
      </c>
      <c r="D80" s="13">
        <v>64100000</v>
      </c>
      <c r="E80" s="5" t="s">
        <v>38</v>
      </c>
      <c r="F80" s="13" t="s">
        <v>13</v>
      </c>
      <c r="G80" s="13">
        <v>140160393</v>
      </c>
      <c r="H80" s="13" t="s">
        <v>177</v>
      </c>
      <c r="I80" s="25" t="s">
        <v>41</v>
      </c>
      <c r="J80" s="30">
        <v>201954965</v>
      </c>
      <c r="K80" s="14" t="s">
        <v>176</v>
      </c>
      <c r="L80" s="1">
        <v>41974</v>
      </c>
      <c r="M80" s="28">
        <v>115.78</v>
      </c>
      <c r="N80" s="13"/>
      <c r="O80" s="3">
        <v>115.78</v>
      </c>
    </row>
    <row r="81" spans="1:15" s="4" customFormat="1" ht="11.25">
      <c r="A81" s="13">
        <v>78</v>
      </c>
      <c r="B81" s="13" t="s">
        <v>280</v>
      </c>
      <c r="C81" s="13" t="s">
        <v>12</v>
      </c>
      <c r="D81" s="13">
        <v>79300000</v>
      </c>
      <c r="E81" s="5" t="s">
        <v>337</v>
      </c>
      <c r="F81" s="13" t="s">
        <v>13</v>
      </c>
      <c r="G81" s="13">
        <v>140162273</v>
      </c>
      <c r="H81" s="13" t="s">
        <v>179</v>
      </c>
      <c r="I81" s="26" t="s">
        <v>180</v>
      </c>
      <c r="J81" s="30">
        <v>205035282</v>
      </c>
      <c r="K81" s="14" t="s">
        <v>178</v>
      </c>
      <c r="L81" s="1">
        <v>42004</v>
      </c>
      <c r="M81" s="28">
        <v>90</v>
      </c>
      <c r="N81" s="13"/>
      <c r="O81" s="3">
        <v>30</v>
      </c>
    </row>
    <row r="82" spans="1:15" s="4" customFormat="1" ht="11.25">
      <c r="A82" s="13">
        <v>79</v>
      </c>
      <c r="B82" s="13" t="s">
        <v>280</v>
      </c>
      <c r="C82" s="13" t="s">
        <v>12</v>
      </c>
      <c r="D82" s="13">
        <v>63100000</v>
      </c>
      <c r="E82" s="5" t="s">
        <v>315</v>
      </c>
      <c r="F82" s="13" t="s">
        <v>13</v>
      </c>
      <c r="G82" s="13">
        <v>140160407</v>
      </c>
      <c r="H82" s="13" t="s">
        <v>181</v>
      </c>
      <c r="I82" s="26" t="s">
        <v>182</v>
      </c>
      <c r="J82" s="30">
        <v>208163949</v>
      </c>
      <c r="K82" s="14" t="s">
        <v>178</v>
      </c>
      <c r="L82" s="1">
        <v>41988</v>
      </c>
      <c r="M82" s="28">
        <v>73.5</v>
      </c>
      <c r="N82" s="13"/>
      <c r="O82" s="3">
        <v>73.31</v>
      </c>
    </row>
    <row r="83" spans="1:15" s="4" customFormat="1" ht="11.25">
      <c r="A83" s="13">
        <v>80</v>
      </c>
      <c r="B83" s="13" t="s">
        <v>280</v>
      </c>
      <c r="C83" s="13" t="s">
        <v>12</v>
      </c>
      <c r="D83" s="13">
        <v>33600000</v>
      </c>
      <c r="E83" s="5" t="s">
        <v>338</v>
      </c>
      <c r="F83" s="14" t="s">
        <v>295</v>
      </c>
      <c r="G83" s="13">
        <v>140020934</v>
      </c>
      <c r="H83" s="13" t="s">
        <v>184</v>
      </c>
      <c r="I83" s="26" t="s">
        <v>185</v>
      </c>
      <c r="J83" s="30">
        <v>204918544</v>
      </c>
      <c r="K83" s="14" t="s">
        <v>183</v>
      </c>
      <c r="L83" s="1">
        <v>42035</v>
      </c>
      <c r="M83" s="3">
        <v>33900</v>
      </c>
      <c r="N83" s="13"/>
      <c r="O83" s="3">
        <f>27500+6400</f>
        <v>33900</v>
      </c>
    </row>
    <row r="84" spans="1:15" s="4" customFormat="1" ht="12.75">
      <c r="A84" s="13">
        <v>81</v>
      </c>
      <c r="B84" s="13" t="s">
        <v>280</v>
      </c>
      <c r="C84" s="13" t="s">
        <v>15</v>
      </c>
      <c r="D84" s="13">
        <v>79800000</v>
      </c>
      <c r="E84" s="17" t="s">
        <v>314</v>
      </c>
      <c r="F84" s="13" t="s">
        <v>369</v>
      </c>
      <c r="G84" s="13">
        <v>140023046</v>
      </c>
      <c r="H84" s="13" t="s">
        <v>186</v>
      </c>
      <c r="I84" s="26" t="s">
        <v>187</v>
      </c>
      <c r="J84" s="30">
        <v>205080785</v>
      </c>
      <c r="K84" s="14" t="s">
        <v>183</v>
      </c>
      <c r="L84" s="1">
        <v>42009</v>
      </c>
      <c r="M84" s="28">
        <v>5319</v>
      </c>
      <c r="N84" s="13"/>
      <c r="O84" s="3">
        <v>5319</v>
      </c>
    </row>
    <row r="85" spans="1:15" s="4" customFormat="1" ht="11.25">
      <c r="A85" s="13">
        <v>82</v>
      </c>
      <c r="B85" s="13" t="s">
        <v>280</v>
      </c>
      <c r="C85" s="13" t="s">
        <v>15</v>
      </c>
      <c r="D85" s="13">
        <v>30200000</v>
      </c>
      <c r="E85" s="5" t="s">
        <v>361</v>
      </c>
      <c r="F85" s="13" t="s">
        <v>13</v>
      </c>
      <c r="G85" s="13">
        <v>140163176</v>
      </c>
      <c r="H85" s="13" t="s">
        <v>188</v>
      </c>
      <c r="I85" s="26" t="s">
        <v>189</v>
      </c>
      <c r="J85" s="30">
        <v>204892964</v>
      </c>
      <c r="K85" s="14" t="s">
        <v>183</v>
      </c>
      <c r="L85" s="1">
        <v>42004</v>
      </c>
      <c r="M85" s="28">
        <f>29*773</f>
        <v>22417</v>
      </c>
      <c r="N85" s="13"/>
      <c r="O85" s="3">
        <v>22417</v>
      </c>
    </row>
    <row r="86" spans="1:15" s="4" customFormat="1" ht="11.25">
      <c r="A86" s="13">
        <v>83</v>
      </c>
      <c r="B86" s="13" t="s">
        <v>280</v>
      </c>
      <c r="C86" s="13" t="s">
        <v>12</v>
      </c>
      <c r="D86" s="13">
        <v>63500000</v>
      </c>
      <c r="E86" s="5" t="s">
        <v>339</v>
      </c>
      <c r="F86" s="13" t="s">
        <v>13</v>
      </c>
      <c r="G86" s="13">
        <v>140160412</v>
      </c>
      <c r="H86" s="13" t="s">
        <v>191</v>
      </c>
      <c r="I86" s="26" t="s">
        <v>192</v>
      </c>
      <c r="J86" s="30">
        <v>400007158</v>
      </c>
      <c r="K86" s="14" t="s">
        <v>190</v>
      </c>
      <c r="L86" s="1">
        <v>41974</v>
      </c>
      <c r="M86" s="28">
        <v>7706.1</v>
      </c>
      <c r="N86" s="13"/>
      <c r="O86" s="3">
        <v>7706.1</v>
      </c>
    </row>
    <row r="87" spans="1:15" s="4" customFormat="1" ht="11.25">
      <c r="A87" s="13">
        <v>84</v>
      </c>
      <c r="B87" s="13" t="s">
        <v>280</v>
      </c>
      <c r="C87" s="13" t="s">
        <v>12</v>
      </c>
      <c r="D87" s="13">
        <v>30200000</v>
      </c>
      <c r="E87" s="5" t="s">
        <v>362</v>
      </c>
      <c r="F87" s="13" t="s">
        <v>13</v>
      </c>
      <c r="G87" s="13">
        <v>140163177</v>
      </c>
      <c r="H87" s="13" t="s">
        <v>193</v>
      </c>
      <c r="I87" s="26" t="s">
        <v>189</v>
      </c>
      <c r="J87" s="30">
        <v>204892964</v>
      </c>
      <c r="K87" s="14" t="s">
        <v>190</v>
      </c>
      <c r="L87" s="1">
        <v>42004</v>
      </c>
      <c r="M87" s="28">
        <v>13141</v>
      </c>
      <c r="N87" s="13"/>
      <c r="O87" s="3">
        <v>13141</v>
      </c>
    </row>
    <row r="88" spans="1:15" s="4" customFormat="1" ht="11.25">
      <c r="A88" s="13">
        <v>85</v>
      </c>
      <c r="B88" s="13" t="s">
        <v>280</v>
      </c>
      <c r="C88" s="13" t="s">
        <v>12</v>
      </c>
      <c r="D88" s="13">
        <v>30200000</v>
      </c>
      <c r="E88" s="5" t="s">
        <v>361</v>
      </c>
      <c r="F88" s="13" t="s">
        <v>13</v>
      </c>
      <c r="G88" s="13">
        <v>140163178</v>
      </c>
      <c r="H88" s="13" t="s">
        <v>194</v>
      </c>
      <c r="I88" s="26" t="s">
        <v>189</v>
      </c>
      <c r="J88" s="30">
        <v>204892964</v>
      </c>
      <c r="K88" s="14" t="s">
        <v>190</v>
      </c>
      <c r="L88" s="1">
        <v>42004</v>
      </c>
      <c r="M88" s="28">
        <f>12*773</f>
        <v>9276</v>
      </c>
      <c r="N88" s="13"/>
      <c r="O88" s="3">
        <v>9276</v>
      </c>
    </row>
    <row r="89" spans="1:15" s="4" customFormat="1" ht="11.25">
      <c r="A89" s="13">
        <v>86</v>
      </c>
      <c r="B89" s="13" t="s">
        <v>280</v>
      </c>
      <c r="C89" s="13" t="s">
        <v>12</v>
      </c>
      <c r="D89" s="13">
        <v>38500000</v>
      </c>
      <c r="E89" s="11" t="s">
        <v>363</v>
      </c>
      <c r="F89" s="14" t="s">
        <v>295</v>
      </c>
      <c r="G89" s="13">
        <v>140019721</v>
      </c>
      <c r="H89" s="13" t="s">
        <v>195</v>
      </c>
      <c r="I89" s="5" t="s">
        <v>136</v>
      </c>
      <c r="J89" s="30">
        <v>205202029</v>
      </c>
      <c r="K89" s="8" t="s">
        <v>190</v>
      </c>
      <c r="L89" s="1">
        <v>42035</v>
      </c>
      <c r="M89" s="3">
        <v>10500</v>
      </c>
      <c r="N89" s="13"/>
      <c r="O89" s="3">
        <v>10500</v>
      </c>
    </row>
    <row r="90" spans="1:15" s="18" customFormat="1" ht="12.75">
      <c r="A90" s="13">
        <v>87</v>
      </c>
      <c r="B90" s="13" t="s">
        <v>280</v>
      </c>
      <c r="C90" s="13" t="s">
        <v>15</v>
      </c>
      <c r="D90" s="13">
        <v>30200000</v>
      </c>
      <c r="E90" s="17" t="s">
        <v>364</v>
      </c>
      <c r="F90" s="14" t="s">
        <v>295</v>
      </c>
      <c r="G90" s="13">
        <v>140023772</v>
      </c>
      <c r="H90" s="13" t="s">
        <v>197</v>
      </c>
      <c r="I90" s="5" t="s">
        <v>198</v>
      </c>
      <c r="J90" s="30">
        <v>406058803</v>
      </c>
      <c r="K90" s="13" t="s">
        <v>196</v>
      </c>
      <c r="L90" s="1">
        <v>42035</v>
      </c>
      <c r="M90" s="3">
        <v>8300</v>
      </c>
      <c r="N90" s="13"/>
      <c r="O90" s="3">
        <v>8300</v>
      </c>
    </row>
    <row r="91" spans="1:15" s="18" customFormat="1" ht="12.75">
      <c r="A91" s="13">
        <v>88</v>
      </c>
      <c r="B91" s="13" t="s">
        <v>280</v>
      </c>
      <c r="C91" s="13" t="s">
        <v>12</v>
      </c>
      <c r="D91" s="13">
        <v>64100000</v>
      </c>
      <c r="E91" s="5" t="s">
        <v>38</v>
      </c>
      <c r="F91" s="13" t="s">
        <v>13</v>
      </c>
      <c r="G91" s="13">
        <v>140166563</v>
      </c>
      <c r="H91" s="13" t="s">
        <v>200</v>
      </c>
      <c r="I91" s="25" t="s">
        <v>41</v>
      </c>
      <c r="J91" s="30">
        <v>201954965</v>
      </c>
      <c r="K91" s="14" t="s">
        <v>199</v>
      </c>
      <c r="L91" s="1">
        <v>42035</v>
      </c>
      <c r="M91" s="3">
        <v>512</v>
      </c>
      <c r="N91" s="13"/>
      <c r="O91" s="3">
        <f>115.93+225.4</f>
        <v>341.33000000000004</v>
      </c>
    </row>
    <row r="92" spans="1:15" s="4" customFormat="1" ht="11.25">
      <c r="A92" s="13">
        <v>89</v>
      </c>
      <c r="B92" s="13" t="s">
        <v>280</v>
      </c>
      <c r="C92" s="13" t="s">
        <v>12</v>
      </c>
      <c r="D92" s="13">
        <v>33100000</v>
      </c>
      <c r="E92" s="5" t="s">
        <v>365</v>
      </c>
      <c r="F92" s="14" t="s">
        <v>295</v>
      </c>
      <c r="G92" s="13">
        <v>140020468</v>
      </c>
      <c r="H92" s="13" t="s">
        <v>202</v>
      </c>
      <c r="I92" s="25" t="s">
        <v>203</v>
      </c>
      <c r="J92" s="30">
        <v>205242450</v>
      </c>
      <c r="K92" s="13" t="s">
        <v>201</v>
      </c>
      <c r="L92" s="1">
        <v>42035</v>
      </c>
      <c r="M92" s="3">
        <v>22550</v>
      </c>
      <c r="N92" s="13"/>
      <c r="O92" s="3">
        <v>22550</v>
      </c>
    </row>
    <row r="93" spans="1:15" s="18" customFormat="1" ht="12.75">
      <c r="A93" s="13">
        <v>90</v>
      </c>
      <c r="B93" s="13" t="s">
        <v>280</v>
      </c>
      <c r="C93" s="13" t="s">
        <v>15</v>
      </c>
      <c r="D93" s="13">
        <v>79500000</v>
      </c>
      <c r="E93" s="5" t="s">
        <v>340</v>
      </c>
      <c r="F93" s="13" t="s">
        <v>13</v>
      </c>
      <c r="G93" s="13">
        <v>140168185</v>
      </c>
      <c r="H93" s="13" t="s">
        <v>204</v>
      </c>
      <c r="I93" s="25" t="s">
        <v>205</v>
      </c>
      <c r="J93" s="30">
        <v>46001022392</v>
      </c>
      <c r="K93" s="13" t="s">
        <v>201</v>
      </c>
      <c r="L93" s="1">
        <v>42004</v>
      </c>
      <c r="M93" s="3">
        <v>500</v>
      </c>
      <c r="N93" s="13"/>
      <c r="O93" s="3">
        <v>500</v>
      </c>
    </row>
    <row r="94" spans="1:15" s="18" customFormat="1" ht="22.5">
      <c r="A94" s="13">
        <v>91</v>
      </c>
      <c r="B94" s="13" t="s">
        <v>280</v>
      </c>
      <c r="C94" s="13" t="s">
        <v>56</v>
      </c>
      <c r="D94" s="13">
        <v>34300000</v>
      </c>
      <c r="E94" s="5" t="s">
        <v>341</v>
      </c>
      <c r="F94" s="13" t="s">
        <v>13</v>
      </c>
      <c r="G94" s="13">
        <v>140168357</v>
      </c>
      <c r="H94" s="13" t="s">
        <v>206</v>
      </c>
      <c r="I94" s="25" t="s">
        <v>207</v>
      </c>
      <c r="J94" s="30">
        <v>202177205</v>
      </c>
      <c r="K94" s="13" t="s">
        <v>201</v>
      </c>
      <c r="L94" s="1">
        <v>42004</v>
      </c>
      <c r="M94" s="3">
        <v>2060</v>
      </c>
      <c r="N94" s="13"/>
      <c r="O94" s="3">
        <f>1020+1040</f>
        <v>2060</v>
      </c>
    </row>
    <row r="95" spans="1:15" s="18" customFormat="1" ht="12.75">
      <c r="A95" s="13">
        <v>92</v>
      </c>
      <c r="B95" s="13" t="s">
        <v>280</v>
      </c>
      <c r="C95" s="13" t="s">
        <v>12</v>
      </c>
      <c r="D95" s="13">
        <v>50200000</v>
      </c>
      <c r="E95" s="5" t="s">
        <v>342</v>
      </c>
      <c r="F95" s="13" t="s">
        <v>13</v>
      </c>
      <c r="G95" s="13">
        <v>140168367</v>
      </c>
      <c r="H95" s="13" t="s">
        <v>208</v>
      </c>
      <c r="I95" s="25" t="s">
        <v>207</v>
      </c>
      <c r="J95" s="30">
        <v>202177205</v>
      </c>
      <c r="K95" s="13" t="s">
        <v>201</v>
      </c>
      <c r="L95" s="1">
        <v>42004</v>
      </c>
      <c r="M95" s="3">
        <v>105</v>
      </c>
      <c r="N95" s="13"/>
      <c r="O95" s="3">
        <v>10</v>
      </c>
    </row>
    <row r="96" spans="1:15" s="18" customFormat="1" ht="12.75">
      <c r="A96" s="13">
        <v>93</v>
      </c>
      <c r="B96" s="13" t="s">
        <v>280</v>
      </c>
      <c r="C96" s="13" t="s">
        <v>12</v>
      </c>
      <c r="D96" s="13">
        <v>79500000</v>
      </c>
      <c r="E96" s="5" t="s">
        <v>340</v>
      </c>
      <c r="F96" s="13" t="s">
        <v>13</v>
      </c>
      <c r="G96" s="13">
        <v>140168178</v>
      </c>
      <c r="H96" s="13" t="s">
        <v>209</v>
      </c>
      <c r="I96" s="25" t="s">
        <v>210</v>
      </c>
      <c r="J96" s="7" t="s">
        <v>287</v>
      </c>
      <c r="K96" s="13" t="s">
        <v>201</v>
      </c>
      <c r="L96" s="1">
        <v>42004</v>
      </c>
      <c r="M96" s="3">
        <v>500</v>
      </c>
      <c r="N96" s="13"/>
      <c r="O96" s="3">
        <v>500</v>
      </c>
    </row>
    <row r="97" spans="1:15" s="18" customFormat="1" ht="22.5">
      <c r="A97" s="13">
        <v>94</v>
      </c>
      <c r="B97" s="13" t="s">
        <v>280</v>
      </c>
      <c r="C97" s="13" t="s">
        <v>12</v>
      </c>
      <c r="D97" s="13">
        <v>15900000</v>
      </c>
      <c r="E97" s="5" t="s">
        <v>321</v>
      </c>
      <c r="F97" s="13" t="s">
        <v>13</v>
      </c>
      <c r="G97" s="13">
        <v>140171675</v>
      </c>
      <c r="H97" s="13" t="s">
        <v>212</v>
      </c>
      <c r="I97" s="25" t="s">
        <v>89</v>
      </c>
      <c r="J97" s="30">
        <v>206172078</v>
      </c>
      <c r="K97" s="13" t="s">
        <v>211</v>
      </c>
      <c r="L97" s="1">
        <v>41993</v>
      </c>
      <c r="M97" s="3">
        <v>159.4</v>
      </c>
      <c r="N97" s="13"/>
      <c r="O97" s="3">
        <v>159.4</v>
      </c>
    </row>
    <row r="98" spans="1:15" s="18" customFormat="1" ht="22.5">
      <c r="A98" s="13">
        <v>95</v>
      </c>
      <c r="B98" s="13" t="s">
        <v>280</v>
      </c>
      <c r="C98" s="13" t="s">
        <v>12</v>
      </c>
      <c r="D98" s="13">
        <v>55300000</v>
      </c>
      <c r="E98" s="5" t="s">
        <v>322</v>
      </c>
      <c r="F98" s="13" t="s">
        <v>13</v>
      </c>
      <c r="G98" s="13">
        <v>140171679</v>
      </c>
      <c r="H98" s="13" t="s">
        <v>213</v>
      </c>
      <c r="I98" s="25" t="s">
        <v>126</v>
      </c>
      <c r="J98" s="30">
        <v>206172078</v>
      </c>
      <c r="K98" s="13" t="s">
        <v>211</v>
      </c>
      <c r="L98" s="1">
        <v>41993</v>
      </c>
      <c r="M98" s="3">
        <v>1040</v>
      </c>
      <c r="N98" s="13"/>
      <c r="O98" s="3">
        <v>1040</v>
      </c>
    </row>
    <row r="99" spans="1:15" s="18" customFormat="1" ht="12.75">
      <c r="A99" s="13">
        <v>96</v>
      </c>
      <c r="B99" s="13" t="s">
        <v>280</v>
      </c>
      <c r="C99" s="13" t="s">
        <v>12</v>
      </c>
      <c r="D99" s="7" t="s">
        <v>309</v>
      </c>
      <c r="E99" s="5" t="s">
        <v>320</v>
      </c>
      <c r="F99" s="13" t="s">
        <v>13</v>
      </c>
      <c r="G99" s="13">
        <v>140171684</v>
      </c>
      <c r="H99" s="13" t="s">
        <v>215</v>
      </c>
      <c r="I99" s="5" t="s">
        <v>121</v>
      </c>
      <c r="J99" s="30">
        <v>200119923</v>
      </c>
      <c r="K99" s="13" t="s">
        <v>214</v>
      </c>
      <c r="L99" s="1">
        <v>42019</v>
      </c>
      <c r="M99" s="3">
        <v>218</v>
      </c>
      <c r="N99" s="7"/>
      <c r="O99" s="3">
        <f>100+118</f>
        <v>218</v>
      </c>
    </row>
    <row r="100" spans="1:15" s="18" customFormat="1" ht="22.5">
      <c r="A100" s="13">
        <v>97</v>
      </c>
      <c r="B100" s="13" t="s">
        <v>280</v>
      </c>
      <c r="C100" s="13" t="s">
        <v>15</v>
      </c>
      <c r="D100" s="13">
        <v>34300000</v>
      </c>
      <c r="E100" s="5" t="s">
        <v>341</v>
      </c>
      <c r="F100" s="13" t="s">
        <v>13</v>
      </c>
      <c r="G100" s="13">
        <v>140168386</v>
      </c>
      <c r="H100" s="13" t="s">
        <v>216</v>
      </c>
      <c r="I100" s="25" t="s">
        <v>217</v>
      </c>
      <c r="J100" s="30">
        <v>404878806</v>
      </c>
      <c r="K100" s="13" t="s">
        <v>214</v>
      </c>
      <c r="L100" s="1">
        <v>42004</v>
      </c>
      <c r="M100" s="3">
        <v>420</v>
      </c>
      <c r="N100" s="13"/>
      <c r="O100" s="3">
        <v>420</v>
      </c>
    </row>
    <row r="101" spans="1:15" s="18" customFormat="1" ht="22.5">
      <c r="A101" s="13">
        <v>98</v>
      </c>
      <c r="B101" s="13" t="s">
        <v>280</v>
      </c>
      <c r="C101" s="13" t="s">
        <v>15</v>
      </c>
      <c r="D101" s="13">
        <v>31400000</v>
      </c>
      <c r="E101" s="5" t="s">
        <v>343</v>
      </c>
      <c r="F101" s="13" t="s">
        <v>13</v>
      </c>
      <c r="G101" s="13">
        <v>140171633</v>
      </c>
      <c r="H101" s="13" t="s">
        <v>218</v>
      </c>
      <c r="I101" s="25" t="s">
        <v>217</v>
      </c>
      <c r="J101" s="30">
        <v>404878806</v>
      </c>
      <c r="K101" s="13" t="s">
        <v>214</v>
      </c>
      <c r="L101" s="1">
        <v>42004</v>
      </c>
      <c r="M101" s="3">
        <v>135</v>
      </c>
      <c r="N101" s="13"/>
      <c r="O101" s="3">
        <v>135</v>
      </c>
    </row>
    <row r="102" spans="1:15" s="18" customFormat="1" ht="12.75">
      <c r="A102" s="13">
        <v>99</v>
      </c>
      <c r="B102" s="13" t="s">
        <v>280</v>
      </c>
      <c r="C102" s="13" t="s">
        <v>12</v>
      </c>
      <c r="D102" s="7" t="s">
        <v>310</v>
      </c>
      <c r="E102" s="5" t="s">
        <v>344</v>
      </c>
      <c r="F102" s="13" t="s">
        <v>13</v>
      </c>
      <c r="G102" s="13">
        <v>140171748</v>
      </c>
      <c r="H102" s="13" t="s">
        <v>219</v>
      </c>
      <c r="I102" s="5" t="s">
        <v>220</v>
      </c>
      <c r="J102" s="7" t="s">
        <v>288</v>
      </c>
      <c r="K102" s="13" t="s">
        <v>214</v>
      </c>
      <c r="L102" s="1">
        <v>42019</v>
      </c>
      <c r="M102" s="12">
        <v>12862</v>
      </c>
      <c r="N102" s="7"/>
      <c r="O102" s="12">
        <v>12862</v>
      </c>
    </row>
    <row r="103" spans="1:15" s="18" customFormat="1" ht="12.75">
      <c r="A103" s="13">
        <v>100</v>
      </c>
      <c r="B103" s="13" t="s">
        <v>280</v>
      </c>
      <c r="C103" s="13" t="s">
        <v>12</v>
      </c>
      <c r="D103" s="7" t="s">
        <v>310</v>
      </c>
      <c r="E103" s="5" t="s">
        <v>344</v>
      </c>
      <c r="F103" s="13" t="s">
        <v>13</v>
      </c>
      <c r="G103" s="13">
        <v>140171848</v>
      </c>
      <c r="H103" s="13" t="s">
        <v>221</v>
      </c>
      <c r="I103" s="5" t="s">
        <v>222</v>
      </c>
      <c r="J103" s="7" t="s">
        <v>289</v>
      </c>
      <c r="K103" s="13" t="s">
        <v>214</v>
      </c>
      <c r="L103" s="1">
        <v>42019</v>
      </c>
      <c r="M103" s="12">
        <v>12862</v>
      </c>
      <c r="N103" s="7"/>
      <c r="O103" s="12">
        <v>12862</v>
      </c>
    </row>
    <row r="104" spans="1:15" s="18" customFormat="1" ht="12.75">
      <c r="A104" s="13">
        <v>101</v>
      </c>
      <c r="B104" s="13" t="s">
        <v>280</v>
      </c>
      <c r="C104" s="13" t="s">
        <v>12</v>
      </c>
      <c r="D104" s="7" t="s">
        <v>310</v>
      </c>
      <c r="E104" s="5" t="s">
        <v>344</v>
      </c>
      <c r="F104" s="13" t="s">
        <v>13</v>
      </c>
      <c r="G104" s="13">
        <v>140171753</v>
      </c>
      <c r="H104" s="13" t="s">
        <v>223</v>
      </c>
      <c r="I104" s="5" t="s">
        <v>224</v>
      </c>
      <c r="J104" s="7" t="s">
        <v>290</v>
      </c>
      <c r="K104" s="13" t="s">
        <v>214</v>
      </c>
      <c r="L104" s="1">
        <v>42019</v>
      </c>
      <c r="M104" s="12">
        <v>12862</v>
      </c>
      <c r="N104" s="7"/>
      <c r="O104" s="12">
        <v>12862</v>
      </c>
    </row>
    <row r="105" spans="1:15" s="18" customFormat="1" ht="12.75">
      <c r="A105" s="13">
        <v>102</v>
      </c>
      <c r="B105" s="13" t="s">
        <v>280</v>
      </c>
      <c r="C105" s="13" t="s">
        <v>12</v>
      </c>
      <c r="D105" s="7" t="s">
        <v>310</v>
      </c>
      <c r="E105" s="5" t="s">
        <v>344</v>
      </c>
      <c r="F105" s="13" t="s">
        <v>13</v>
      </c>
      <c r="G105" s="13">
        <v>140171755</v>
      </c>
      <c r="H105" s="13" t="s">
        <v>225</v>
      </c>
      <c r="I105" s="5" t="s">
        <v>226</v>
      </c>
      <c r="J105" s="7" t="s">
        <v>291</v>
      </c>
      <c r="K105" s="13" t="s">
        <v>214</v>
      </c>
      <c r="L105" s="1">
        <v>42019</v>
      </c>
      <c r="M105" s="12">
        <v>12862</v>
      </c>
      <c r="N105" s="7"/>
      <c r="O105" s="12">
        <v>12862</v>
      </c>
    </row>
    <row r="106" spans="1:15" s="18" customFormat="1" ht="12.75">
      <c r="A106" s="13">
        <v>103</v>
      </c>
      <c r="B106" s="13" t="s">
        <v>280</v>
      </c>
      <c r="C106" s="13" t="s">
        <v>12</v>
      </c>
      <c r="D106" s="7" t="s">
        <v>310</v>
      </c>
      <c r="E106" s="5" t="s">
        <v>344</v>
      </c>
      <c r="F106" s="13" t="s">
        <v>13</v>
      </c>
      <c r="G106" s="13">
        <v>140171756</v>
      </c>
      <c r="H106" s="13" t="s">
        <v>227</v>
      </c>
      <c r="I106" s="5" t="s">
        <v>228</v>
      </c>
      <c r="J106" s="7" t="s">
        <v>292</v>
      </c>
      <c r="K106" s="13" t="s">
        <v>214</v>
      </c>
      <c r="L106" s="1">
        <v>42019</v>
      </c>
      <c r="M106" s="12">
        <v>2373</v>
      </c>
      <c r="N106" s="7"/>
      <c r="O106" s="12">
        <v>2373</v>
      </c>
    </row>
    <row r="107" spans="1:15" s="18" customFormat="1" ht="22.5">
      <c r="A107" s="13">
        <v>104</v>
      </c>
      <c r="B107" s="13" t="s">
        <v>280</v>
      </c>
      <c r="C107" s="13" t="s">
        <v>12</v>
      </c>
      <c r="D107" s="7" t="s">
        <v>310</v>
      </c>
      <c r="E107" s="5" t="s">
        <v>344</v>
      </c>
      <c r="F107" s="13" t="s">
        <v>13</v>
      </c>
      <c r="G107" s="13">
        <v>140171759</v>
      </c>
      <c r="H107" s="13" t="s">
        <v>229</v>
      </c>
      <c r="I107" s="5" t="s">
        <v>230</v>
      </c>
      <c r="J107" s="7" t="s">
        <v>293</v>
      </c>
      <c r="K107" s="13" t="s">
        <v>214</v>
      </c>
      <c r="L107" s="1">
        <v>42019</v>
      </c>
      <c r="M107" s="12">
        <v>1898</v>
      </c>
      <c r="N107" s="7"/>
      <c r="O107" s="12">
        <v>1898</v>
      </c>
    </row>
    <row r="108" spans="1:15" s="18" customFormat="1" ht="22.5">
      <c r="A108" s="13">
        <v>105</v>
      </c>
      <c r="B108" s="13" t="s">
        <v>280</v>
      </c>
      <c r="C108" s="13" t="s">
        <v>12</v>
      </c>
      <c r="D108" s="13">
        <v>55300000</v>
      </c>
      <c r="E108" s="5" t="s">
        <v>322</v>
      </c>
      <c r="F108" s="13" t="s">
        <v>13</v>
      </c>
      <c r="G108" s="13">
        <v>140169535</v>
      </c>
      <c r="H108" s="13" t="s">
        <v>231</v>
      </c>
      <c r="I108" s="5" t="s">
        <v>232</v>
      </c>
      <c r="J108" s="30">
        <v>404429285</v>
      </c>
      <c r="K108" s="13" t="s">
        <v>214</v>
      </c>
      <c r="L108" s="1">
        <v>41988</v>
      </c>
      <c r="M108" s="3">
        <v>400</v>
      </c>
      <c r="N108" s="13"/>
      <c r="O108" s="3">
        <v>326.7</v>
      </c>
    </row>
    <row r="109" spans="1:15" s="18" customFormat="1" ht="22.5">
      <c r="A109" s="13">
        <v>106</v>
      </c>
      <c r="B109" s="13" t="s">
        <v>280</v>
      </c>
      <c r="C109" s="13" t="s">
        <v>56</v>
      </c>
      <c r="D109" s="13">
        <v>33100000</v>
      </c>
      <c r="E109" s="5" t="s">
        <v>233</v>
      </c>
      <c r="F109" s="14" t="s">
        <v>295</v>
      </c>
      <c r="G109" s="13">
        <v>140021464</v>
      </c>
      <c r="H109" s="13" t="s">
        <v>235</v>
      </c>
      <c r="I109" s="5" t="s">
        <v>236</v>
      </c>
      <c r="J109" s="30">
        <v>205187091</v>
      </c>
      <c r="K109" s="13" t="s">
        <v>234</v>
      </c>
      <c r="L109" s="1">
        <v>42035</v>
      </c>
      <c r="M109" s="3">
        <v>27990</v>
      </c>
      <c r="N109" s="13"/>
      <c r="O109" s="3">
        <f>4994+9036+13740+210</f>
        <v>27980</v>
      </c>
    </row>
    <row r="110" spans="1:15" s="18" customFormat="1" ht="22.5">
      <c r="A110" s="13">
        <v>107</v>
      </c>
      <c r="B110" s="13" t="s">
        <v>280</v>
      </c>
      <c r="C110" s="13" t="s">
        <v>15</v>
      </c>
      <c r="D110" s="13">
        <v>33100000</v>
      </c>
      <c r="E110" s="5" t="s">
        <v>345</v>
      </c>
      <c r="F110" s="14" t="s">
        <v>295</v>
      </c>
      <c r="G110" s="13">
        <v>140021427</v>
      </c>
      <c r="H110" s="13" t="s">
        <v>238</v>
      </c>
      <c r="I110" s="5" t="s">
        <v>185</v>
      </c>
      <c r="J110" s="30">
        <v>204918544</v>
      </c>
      <c r="K110" s="13" t="s">
        <v>237</v>
      </c>
      <c r="L110" s="1">
        <v>42035</v>
      </c>
      <c r="M110" s="3">
        <v>29789.17</v>
      </c>
      <c r="N110" s="13"/>
      <c r="O110" s="3">
        <f>28000+1789.17</f>
        <v>29789.17</v>
      </c>
    </row>
    <row r="111" spans="1:15" s="18" customFormat="1" ht="22.5">
      <c r="A111" s="13">
        <v>108</v>
      </c>
      <c r="B111" s="13" t="s">
        <v>280</v>
      </c>
      <c r="C111" s="13" t="s">
        <v>15</v>
      </c>
      <c r="D111" s="13">
        <v>33100000</v>
      </c>
      <c r="E111" s="5" t="s">
        <v>346</v>
      </c>
      <c r="F111" s="14" t="s">
        <v>295</v>
      </c>
      <c r="G111" s="13">
        <v>140021429</v>
      </c>
      <c r="H111" s="13" t="s">
        <v>239</v>
      </c>
      <c r="I111" s="5" t="s">
        <v>185</v>
      </c>
      <c r="J111" s="30">
        <v>204918544</v>
      </c>
      <c r="K111" s="13" t="s">
        <v>237</v>
      </c>
      <c r="L111" s="1">
        <v>42035</v>
      </c>
      <c r="M111" s="3">
        <v>52462.47</v>
      </c>
      <c r="N111" s="13"/>
      <c r="O111" s="3">
        <f>49500+2962.48</f>
        <v>52462.48</v>
      </c>
    </row>
    <row r="112" spans="1:15" s="18" customFormat="1" ht="12.75">
      <c r="A112" s="13">
        <v>109</v>
      </c>
      <c r="B112" s="13" t="s">
        <v>280</v>
      </c>
      <c r="C112" s="13" t="s">
        <v>15</v>
      </c>
      <c r="D112" s="7" t="s">
        <v>311</v>
      </c>
      <c r="E112" s="5" t="s">
        <v>347</v>
      </c>
      <c r="F112" s="13" t="s">
        <v>13</v>
      </c>
      <c r="G112" s="13">
        <v>140173449</v>
      </c>
      <c r="H112" s="13" t="s">
        <v>240</v>
      </c>
      <c r="I112" s="5" t="s">
        <v>241</v>
      </c>
      <c r="J112" s="30">
        <v>205277369</v>
      </c>
      <c r="K112" s="13" t="s">
        <v>237</v>
      </c>
      <c r="L112" s="1">
        <v>42035</v>
      </c>
      <c r="M112" s="3">
        <v>41.67</v>
      </c>
      <c r="N112" s="7"/>
      <c r="O112" s="3">
        <v>41.67</v>
      </c>
    </row>
    <row r="113" spans="1:15" s="18" customFormat="1" ht="12.75">
      <c r="A113" s="13">
        <v>110</v>
      </c>
      <c r="B113" s="13" t="s">
        <v>280</v>
      </c>
      <c r="C113" s="13" t="s">
        <v>56</v>
      </c>
      <c r="D113" s="13">
        <v>75100000</v>
      </c>
      <c r="E113" s="5" t="s">
        <v>348</v>
      </c>
      <c r="F113" s="13" t="s">
        <v>13</v>
      </c>
      <c r="G113" s="13">
        <v>140173442</v>
      </c>
      <c r="H113" s="13" t="s">
        <v>242</v>
      </c>
      <c r="I113" s="5" t="s">
        <v>243</v>
      </c>
      <c r="J113" s="30">
        <v>205190513</v>
      </c>
      <c r="K113" s="13" t="s">
        <v>237</v>
      </c>
      <c r="L113" s="1">
        <v>42004</v>
      </c>
      <c r="M113" s="3">
        <v>1650</v>
      </c>
      <c r="N113" s="13"/>
      <c r="O113" s="3">
        <v>1400</v>
      </c>
    </row>
    <row r="114" spans="1:15" s="4" customFormat="1" ht="22.5">
      <c r="A114" s="13">
        <v>111</v>
      </c>
      <c r="B114" s="13" t="s">
        <v>280</v>
      </c>
      <c r="C114" s="13" t="s">
        <v>15</v>
      </c>
      <c r="D114" s="13">
        <v>33600000</v>
      </c>
      <c r="E114" s="5" t="s">
        <v>349</v>
      </c>
      <c r="F114" s="14" t="s">
        <v>295</v>
      </c>
      <c r="G114" s="13">
        <v>140023612</v>
      </c>
      <c r="H114" s="13" t="s">
        <v>245</v>
      </c>
      <c r="I114" s="25" t="s">
        <v>246</v>
      </c>
      <c r="J114" s="30">
        <v>204552741</v>
      </c>
      <c r="K114" s="13" t="s">
        <v>244</v>
      </c>
      <c r="L114" s="1">
        <v>42035</v>
      </c>
      <c r="M114" s="3">
        <v>402838</v>
      </c>
      <c r="N114" s="13"/>
      <c r="O114" s="3">
        <v>402828</v>
      </c>
    </row>
    <row r="115" spans="1:15" s="18" customFormat="1" ht="22.5">
      <c r="A115" s="13">
        <v>112</v>
      </c>
      <c r="B115" s="13" t="s">
        <v>280</v>
      </c>
      <c r="C115" s="13" t="s">
        <v>15</v>
      </c>
      <c r="D115" s="13">
        <v>55300000</v>
      </c>
      <c r="E115" s="5" t="s">
        <v>322</v>
      </c>
      <c r="F115" s="13" t="s">
        <v>13</v>
      </c>
      <c r="G115" s="13">
        <v>140179315</v>
      </c>
      <c r="H115" s="13" t="s">
        <v>248</v>
      </c>
      <c r="I115" s="25" t="s">
        <v>249</v>
      </c>
      <c r="J115" s="30">
        <v>201990104</v>
      </c>
      <c r="K115" s="13" t="s">
        <v>247</v>
      </c>
      <c r="L115" s="1">
        <v>42004</v>
      </c>
      <c r="M115" s="29">
        <v>3359.7</v>
      </c>
      <c r="N115" s="13"/>
      <c r="O115" s="3">
        <v>7684.3</v>
      </c>
    </row>
    <row r="116" spans="1:15" s="2" customFormat="1" ht="22.5">
      <c r="A116" s="13">
        <v>113</v>
      </c>
      <c r="B116" s="13" t="s">
        <v>280</v>
      </c>
      <c r="C116" s="13" t="s">
        <v>15</v>
      </c>
      <c r="D116" s="13">
        <v>33600000</v>
      </c>
      <c r="E116" s="10" t="s">
        <v>350</v>
      </c>
      <c r="F116" s="14" t="s">
        <v>295</v>
      </c>
      <c r="G116" s="13">
        <v>140020184</v>
      </c>
      <c r="H116" s="14" t="s">
        <v>250</v>
      </c>
      <c r="I116" s="5" t="s">
        <v>251</v>
      </c>
      <c r="J116" s="30">
        <v>204996772</v>
      </c>
      <c r="K116" s="1">
        <v>41968</v>
      </c>
      <c r="L116" s="1">
        <v>42186</v>
      </c>
      <c r="M116" s="3">
        <v>308000</v>
      </c>
      <c r="N116" s="13"/>
      <c r="O116" s="3">
        <f>154000</f>
        <v>154000</v>
      </c>
    </row>
    <row r="117" spans="1:15" s="18" customFormat="1" ht="12.75">
      <c r="A117" s="13">
        <v>114</v>
      </c>
      <c r="B117" s="13" t="s">
        <v>280</v>
      </c>
      <c r="C117" s="13" t="s">
        <v>15</v>
      </c>
      <c r="D117" s="13">
        <v>33700000</v>
      </c>
      <c r="E117" s="5" t="s">
        <v>351</v>
      </c>
      <c r="F117" s="14" t="s">
        <v>295</v>
      </c>
      <c r="G117" s="13">
        <v>140022013</v>
      </c>
      <c r="H117" s="14" t="s">
        <v>252</v>
      </c>
      <c r="I117" s="5" t="s">
        <v>106</v>
      </c>
      <c r="J117" s="30">
        <v>201991229</v>
      </c>
      <c r="K117" s="1">
        <v>41970</v>
      </c>
      <c r="L117" s="1">
        <v>42036</v>
      </c>
      <c r="M117" s="3">
        <v>166200</v>
      </c>
      <c r="N117" s="13"/>
      <c r="O117" s="3">
        <v>166200</v>
      </c>
    </row>
    <row r="118" spans="1:15" s="4" customFormat="1" ht="11.25">
      <c r="A118" s="13">
        <v>115</v>
      </c>
      <c r="B118" s="13" t="s">
        <v>280</v>
      </c>
      <c r="C118" s="13" t="s">
        <v>12</v>
      </c>
      <c r="D118" s="13">
        <v>33100000</v>
      </c>
      <c r="E118" s="5" t="s">
        <v>366</v>
      </c>
      <c r="F118" s="14" t="s">
        <v>295</v>
      </c>
      <c r="G118" s="13">
        <v>140024958</v>
      </c>
      <c r="H118" s="14" t="s">
        <v>254</v>
      </c>
      <c r="I118" s="25" t="s">
        <v>255</v>
      </c>
      <c r="J118" s="30">
        <v>202161640</v>
      </c>
      <c r="K118" s="13" t="s">
        <v>253</v>
      </c>
      <c r="L118" s="1">
        <v>42036</v>
      </c>
      <c r="M118" s="3">
        <v>9397</v>
      </c>
      <c r="N118" s="13"/>
      <c r="O118" s="3">
        <f>7682+1715</f>
        <v>9397</v>
      </c>
    </row>
    <row r="119" spans="1:15" s="4" customFormat="1" ht="11.25">
      <c r="A119" s="13">
        <v>116</v>
      </c>
      <c r="B119" s="13" t="s">
        <v>280</v>
      </c>
      <c r="C119" s="13" t="s">
        <v>12</v>
      </c>
      <c r="D119" s="13">
        <v>33100000</v>
      </c>
      <c r="E119" s="5" t="s">
        <v>367</v>
      </c>
      <c r="F119" s="14" t="s">
        <v>295</v>
      </c>
      <c r="G119" s="13">
        <v>140024962</v>
      </c>
      <c r="H119" s="14" t="s">
        <v>257</v>
      </c>
      <c r="I119" s="25" t="s">
        <v>255</v>
      </c>
      <c r="J119" s="30">
        <v>202161640</v>
      </c>
      <c r="K119" s="13" t="s">
        <v>256</v>
      </c>
      <c r="L119" s="1">
        <v>42036</v>
      </c>
      <c r="M119" s="3">
        <v>4679</v>
      </c>
      <c r="N119" s="13"/>
      <c r="O119" s="3">
        <f>3916.15+480+282.85</f>
        <v>4679</v>
      </c>
    </row>
    <row r="120" spans="1:15" s="4" customFormat="1" ht="11.25">
      <c r="A120" s="13">
        <v>117</v>
      </c>
      <c r="B120" s="13" t="s">
        <v>280</v>
      </c>
      <c r="C120" s="13" t="s">
        <v>15</v>
      </c>
      <c r="D120" s="13">
        <v>33600000</v>
      </c>
      <c r="E120" s="5" t="s">
        <v>352</v>
      </c>
      <c r="F120" s="14" t="s">
        <v>295</v>
      </c>
      <c r="G120" s="13">
        <v>140024594</v>
      </c>
      <c r="H120" s="14" t="s">
        <v>259</v>
      </c>
      <c r="I120" s="25" t="s">
        <v>260</v>
      </c>
      <c r="J120" s="30">
        <v>204992393</v>
      </c>
      <c r="K120" s="13" t="s">
        <v>258</v>
      </c>
      <c r="L120" s="1">
        <v>42036</v>
      </c>
      <c r="M120" s="3">
        <v>11375</v>
      </c>
      <c r="N120" s="13"/>
      <c r="O120" s="3">
        <v>11375</v>
      </c>
    </row>
    <row r="121" spans="1:15" s="18" customFormat="1" ht="12.75">
      <c r="A121" s="13">
        <v>118</v>
      </c>
      <c r="B121" s="13" t="s">
        <v>280</v>
      </c>
      <c r="C121" s="13" t="s">
        <v>12</v>
      </c>
      <c r="D121" s="13">
        <v>31200000</v>
      </c>
      <c r="E121" s="5" t="s">
        <v>353</v>
      </c>
      <c r="F121" s="13" t="s">
        <v>13</v>
      </c>
      <c r="G121" s="13">
        <v>140185582</v>
      </c>
      <c r="H121" s="14" t="s">
        <v>261</v>
      </c>
      <c r="I121" s="5" t="s">
        <v>262</v>
      </c>
      <c r="J121" s="30">
        <v>401968876</v>
      </c>
      <c r="K121" s="13" t="s">
        <v>258</v>
      </c>
      <c r="L121" s="1">
        <v>42036</v>
      </c>
      <c r="M121" s="3">
        <v>231</v>
      </c>
      <c r="N121" s="13"/>
      <c r="O121" s="3">
        <v>231</v>
      </c>
    </row>
    <row r="122" spans="1:15" s="18" customFormat="1" ht="12.75">
      <c r="A122" s="13">
        <v>119</v>
      </c>
      <c r="B122" s="13" t="s">
        <v>280</v>
      </c>
      <c r="C122" s="13" t="s">
        <v>12</v>
      </c>
      <c r="D122" s="13">
        <v>33100000</v>
      </c>
      <c r="E122" s="5" t="s">
        <v>354</v>
      </c>
      <c r="F122" s="13" t="s">
        <v>13</v>
      </c>
      <c r="G122" s="13">
        <v>140185584</v>
      </c>
      <c r="H122" s="14" t="s">
        <v>264</v>
      </c>
      <c r="I122" s="5" t="s">
        <v>265</v>
      </c>
      <c r="J122" s="30" t="s">
        <v>294</v>
      </c>
      <c r="K122" s="1" t="s">
        <v>263</v>
      </c>
      <c r="L122" s="1">
        <v>42460</v>
      </c>
      <c r="M122" s="12">
        <v>160100</v>
      </c>
      <c r="N122" s="13"/>
      <c r="O122" s="12">
        <v>160100</v>
      </c>
    </row>
    <row r="123" spans="1:15" s="18" customFormat="1" ht="12.75">
      <c r="A123" s="13">
        <v>120</v>
      </c>
      <c r="B123" s="13" t="s">
        <v>280</v>
      </c>
      <c r="C123" s="13" t="s">
        <v>12</v>
      </c>
      <c r="D123" s="13">
        <v>79500000</v>
      </c>
      <c r="E123" s="5" t="s">
        <v>340</v>
      </c>
      <c r="F123" s="13" t="s">
        <v>13</v>
      </c>
      <c r="G123" s="13">
        <v>140202368</v>
      </c>
      <c r="H123" s="14" t="s">
        <v>267</v>
      </c>
      <c r="I123" s="5" t="s">
        <v>268</v>
      </c>
      <c r="J123" s="30">
        <v>204544029</v>
      </c>
      <c r="K123" s="1" t="s">
        <v>266</v>
      </c>
      <c r="L123" s="1">
        <v>42035</v>
      </c>
      <c r="M123" s="3">
        <v>674.25</v>
      </c>
      <c r="N123" s="13"/>
      <c r="O123" s="3">
        <v>674.25</v>
      </c>
    </row>
    <row r="124" spans="1:15" s="18" customFormat="1" ht="12.75">
      <c r="A124" s="13">
        <v>121</v>
      </c>
      <c r="B124" s="13" t="s">
        <v>280</v>
      </c>
      <c r="C124" s="13" t="s">
        <v>12</v>
      </c>
      <c r="D124" s="13">
        <v>24400000</v>
      </c>
      <c r="E124" s="5" t="s">
        <v>355</v>
      </c>
      <c r="F124" s="13" t="s">
        <v>13</v>
      </c>
      <c r="G124" s="13">
        <v>140202386</v>
      </c>
      <c r="H124" s="14" t="s">
        <v>270</v>
      </c>
      <c r="I124" s="5" t="s">
        <v>271</v>
      </c>
      <c r="J124" s="30">
        <v>400007078</v>
      </c>
      <c r="K124" s="1" t="s">
        <v>269</v>
      </c>
      <c r="L124" s="1">
        <v>42035</v>
      </c>
      <c r="M124" s="3">
        <v>198</v>
      </c>
      <c r="N124" s="13"/>
      <c r="O124" s="3">
        <v>198</v>
      </c>
    </row>
    <row r="125" spans="1:15" s="18" customFormat="1" ht="12.75">
      <c r="A125" s="13">
        <v>122</v>
      </c>
      <c r="B125" s="13" t="s">
        <v>280</v>
      </c>
      <c r="C125" s="13" t="s">
        <v>12</v>
      </c>
      <c r="D125" s="13">
        <v>39200000</v>
      </c>
      <c r="E125" s="5" t="s">
        <v>317</v>
      </c>
      <c r="F125" s="13" t="s">
        <v>13</v>
      </c>
      <c r="G125" s="13">
        <v>140202410</v>
      </c>
      <c r="H125" s="14" t="s">
        <v>273</v>
      </c>
      <c r="I125" s="5" t="s">
        <v>108</v>
      </c>
      <c r="J125" s="30">
        <v>205020905</v>
      </c>
      <c r="K125" s="1" t="s">
        <v>272</v>
      </c>
      <c r="L125" s="1">
        <v>42045</v>
      </c>
      <c r="M125" s="3">
        <v>240.9</v>
      </c>
      <c r="N125" s="13"/>
      <c r="O125" s="3">
        <v>240.9</v>
      </c>
    </row>
    <row r="126" spans="1:15" s="18" customFormat="1" ht="12.75">
      <c r="A126" s="13">
        <v>123</v>
      </c>
      <c r="B126" s="13" t="s">
        <v>280</v>
      </c>
      <c r="C126" s="13" t="s">
        <v>15</v>
      </c>
      <c r="D126" s="13">
        <v>15800000</v>
      </c>
      <c r="E126" s="5" t="s">
        <v>87</v>
      </c>
      <c r="F126" s="13" t="s">
        <v>13</v>
      </c>
      <c r="G126" s="13">
        <v>140202426</v>
      </c>
      <c r="H126" s="13" t="s">
        <v>275</v>
      </c>
      <c r="I126" s="25" t="s">
        <v>89</v>
      </c>
      <c r="J126" s="30">
        <v>206172078</v>
      </c>
      <c r="K126" s="1" t="s">
        <v>274</v>
      </c>
      <c r="L126" s="1">
        <v>42035</v>
      </c>
      <c r="M126" s="3">
        <v>687</v>
      </c>
      <c r="N126" s="13"/>
      <c r="O126" s="3">
        <v>687</v>
      </c>
    </row>
    <row r="127" spans="1:15" s="18" customFormat="1" ht="12.75">
      <c r="A127" s="13">
        <v>124</v>
      </c>
      <c r="B127" s="13" t="s">
        <v>280</v>
      </c>
      <c r="C127" s="13" t="s">
        <v>12</v>
      </c>
      <c r="D127" s="13">
        <v>39700000</v>
      </c>
      <c r="E127" s="5" t="s">
        <v>276</v>
      </c>
      <c r="F127" s="13" t="s">
        <v>13</v>
      </c>
      <c r="G127" s="13">
        <v>140202452</v>
      </c>
      <c r="H127" s="14" t="s">
        <v>278</v>
      </c>
      <c r="I127" s="5" t="s">
        <v>279</v>
      </c>
      <c r="J127" s="30">
        <v>202268928</v>
      </c>
      <c r="K127" s="1" t="s">
        <v>277</v>
      </c>
      <c r="L127" s="1">
        <v>42035</v>
      </c>
      <c r="M127" s="3">
        <v>471.96</v>
      </c>
      <c r="N127" s="13"/>
      <c r="O127" s="3">
        <v>471.96</v>
      </c>
    </row>
    <row r="130" spans="1:17" s="22" customFormat="1" ht="25.5">
      <c r="A130" s="21" t="s">
        <v>368</v>
      </c>
      <c r="B130" s="31" t="s">
        <v>0</v>
      </c>
      <c r="C130" s="31" t="s">
        <v>1</v>
      </c>
      <c r="D130" s="31" t="s">
        <v>2</v>
      </c>
      <c r="E130" s="31" t="s">
        <v>3</v>
      </c>
      <c r="F130" s="31" t="s">
        <v>4</v>
      </c>
      <c r="G130" s="31" t="s">
        <v>471</v>
      </c>
      <c r="H130" s="31" t="s">
        <v>6</v>
      </c>
      <c r="I130" s="31" t="s">
        <v>7</v>
      </c>
      <c r="J130" s="31" t="s">
        <v>8</v>
      </c>
      <c r="K130" s="131" t="s">
        <v>9</v>
      </c>
      <c r="L130" s="131"/>
      <c r="M130" s="31" t="s">
        <v>10</v>
      </c>
      <c r="N130" s="31" t="s">
        <v>480</v>
      </c>
      <c r="O130" s="20" t="s">
        <v>11</v>
      </c>
    </row>
    <row r="131" spans="1:17" s="39" customFormat="1" ht="12.75">
      <c r="A131" s="32">
        <v>1</v>
      </c>
      <c r="B131" s="13" t="s">
        <v>280</v>
      </c>
      <c r="C131" s="32" t="s">
        <v>15</v>
      </c>
      <c r="D131" s="13" t="s">
        <v>383</v>
      </c>
      <c r="E131" s="24" t="s">
        <v>384</v>
      </c>
      <c r="F131" s="13" t="s">
        <v>43</v>
      </c>
      <c r="G131" s="32">
        <v>150003816</v>
      </c>
      <c r="H131" s="14" t="s">
        <v>385</v>
      </c>
      <c r="I131" s="13" t="s">
        <v>81</v>
      </c>
      <c r="J131" s="30">
        <v>204493002</v>
      </c>
      <c r="K131" s="126" t="s">
        <v>475</v>
      </c>
      <c r="L131" s="126"/>
      <c r="M131" s="64">
        <v>3688.8</v>
      </c>
      <c r="N131" s="128">
        <v>422706.152</v>
      </c>
      <c r="O131" s="37">
        <f>413.4+436.23</f>
        <v>849.63</v>
      </c>
      <c r="Q131" s="63">
        <v>422706.152</v>
      </c>
    </row>
    <row r="132" spans="1:17" s="39" customFormat="1" ht="12.75">
      <c r="A132" s="40">
        <v>2</v>
      </c>
      <c r="B132" s="13" t="s">
        <v>280</v>
      </c>
      <c r="C132" s="32" t="s">
        <v>15</v>
      </c>
      <c r="D132" s="13" t="s">
        <v>383</v>
      </c>
      <c r="E132" s="41" t="s">
        <v>384</v>
      </c>
      <c r="F132" s="13" t="s">
        <v>43</v>
      </c>
      <c r="G132" s="38">
        <v>150003838</v>
      </c>
      <c r="H132" s="42" t="s">
        <v>386</v>
      </c>
      <c r="I132" s="43" t="s">
        <v>81</v>
      </c>
      <c r="J132" s="35">
        <v>204493002</v>
      </c>
      <c r="K132" s="126" t="s">
        <v>475</v>
      </c>
      <c r="L132" s="126"/>
      <c r="M132" s="65">
        <v>5533.2</v>
      </c>
      <c r="N132" s="130"/>
      <c r="O132" s="44"/>
      <c r="Q132" s="63">
        <v>759.00000000000011</v>
      </c>
    </row>
    <row r="133" spans="1:17" s="39" customFormat="1" ht="12.75">
      <c r="A133" s="32">
        <v>3</v>
      </c>
      <c r="B133" s="13" t="s">
        <v>280</v>
      </c>
      <c r="C133" s="13" t="s">
        <v>56</v>
      </c>
      <c r="D133" s="13" t="s">
        <v>383</v>
      </c>
      <c r="E133" s="41" t="s">
        <v>82</v>
      </c>
      <c r="F133" s="13" t="s">
        <v>43</v>
      </c>
      <c r="G133" s="38">
        <v>150003691</v>
      </c>
      <c r="H133" s="42" t="s">
        <v>387</v>
      </c>
      <c r="I133" s="43" t="s">
        <v>85</v>
      </c>
      <c r="J133" s="35">
        <v>204976302</v>
      </c>
      <c r="K133" s="126" t="s">
        <v>475</v>
      </c>
      <c r="L133" s="126"/>
      <c r="M133" s="65">
        <v>261687.6</v>
      </c>
      <c r="N133" s="129"/>
      <c r="O133" s="44">
        <f>15706.79+13714.32</f>
        <v>29421.11</v>
      </c>
    </row>
    <row r="134" spans="1:17" s="4" customFormat="1" ht="11.25">
      <c r="A134" s="32">
        <v>4</v>
      </c>
      <c r="B134" s="13" t="s">
        <v>280</v>
      </c>
      <c r="C134" s="13" t="s">
        <v>15</v>
      </c>
      <c r="D134" s="13" t="s">
        <v>441</v>
      </c>
      <c r="E134" s="47" t="s">
        <v>320</v>
      </c>
      <c r="F134" s="13" t="s">
        <v>13</v>
      </c>
      <c r="G134" s="32">
        <v>150066720</v>
      </c>
      <c r="H134" s="52" t="s">
        <v>443</v>
      </c>
      <c r="I134" s="13" t="s">
        <v>444</v>
      </c>
      <c r="J134" s="35">
        <v>404878806</v>
      </c>
      <c r="K134" s="126" t="s">
        <v>442</v>
      </c>
      <c r="L134" s="126"/>
      <c r="M134" s="64">
        <v>162</v>
      </c>
      <c r="N134" s="128">
        <v>759.00000000000011</v>
      </c>
      <c r="O134" s="34"/>
    </row>
    <row r="135" spans="1:17" s="39" customFormat="1" ht="12.75">
      <c r="A135" s="40">
        <v>5</v>
      </c>
      <c r="B135" s="13" t="s">
        <v>280</v>
      </c>
      <c r="C135" s="13" t="s">
        <v>15</v>
      </c>
      <c r="D135" s="13" t="s">
        <v>441</v>
      </c>
      <c r="E135" s="47" t="s">
        <v>320</v>
      </c>
      <c r="F135" s="13" t="s">
        <v>13</v>
      </c>
      <c r="G135" s="32">
        <v>150073452</v>
      </c>
      <c r="H135" s="52" t="s">
        <v>453</v>
      </c>
      <c r="I135" s="13" t="s">
        <v>444</v>
      </c>
      <c r="J135" s="35">
        <v>404878806</v>
      </c>
      <c r="K135" s="126" t="s">
        <v>474</v>
      </c>
      <c r="L135" s="126"/>
      <c r="M135" s="65">
        <v>498</v>
      </c>
      <c r="N135" s="129"/>
      <c r="O135" s="44"/>
    </row>
    <row r="136" spans="1:17" s="39" customFormat="1" ht="12.75">
      <c r="A136" s="32">
        <v>6</v>
      </c>
      <c r="B136" s="13" t="s">
        <v>280</v>
      </c>
      <c r="C136" s="13" t="s">
        <v>15</v>
      </c>
      <c r="D136" s="13">
        <v>228</v>
      </c>
      <c r="E136" s="5" t="s">
        <v>65</v>
      </c>
      <c r="F136" s="13" t="s">
        <v>13</v>
      </c>
      <c r="G136" s="32">
        <v>150048791</v>
      </c>
      <c r="H136" s="42" t="s">
        <v>400</v>
      </c>
      <c r="I136" s="13" t="s">
        <v>401</v>
      </c>
      <c r="J136" s="35">
        <v>204447312</v>
      </c>
      <c r="K136" s="126" t="s">
        <v>399</v>
      </c>
      <c r="L136" s="126"/>
      <c r="M136" s="65">
        <v>797.13</v>
      </c>
      <c r="N136" s="66">
        <v>3740</v>
      </c>
      <c r="O136" s="45">
        <v>797.13</v>
      </c>
    </row>
    <row r="137" spans="1:17" s="39" customFormat="1" ht="12.75">
      <c r="A137" s="32">
        <v>7</v>
      </c>
      <c r="B137" s="13" t="s">
        <v>280</v>
      </c>
      <c r="C137" s="13" t="s">
        <v>12</v>
      </c>
      <c r="D137" s="13">
        <v>301</v>
      </c>
      <c r="E137" s="5" t="s">
        <v>65</v>
      </c>
      <c r="F137" s="13" t="s">
        <v>13</v>
      </c>
      <c r="G137" s="32">
        <v>150048798</v>
      </c>
      <c r="H137" s="42" t="s">
        <v>402</v>
      </c>
      <c r="I137" s="13" t="s">
        <v>401</v>
      </c>
      <c r="J137" s="35">
        <v>204447312</v>
      </c>
      <c r="K137" s="126" t="s">
        <v>399</v>
      </c>
      <c r="L137" s="126"/>
      <c r="M137" s="65">
        <v>2021.55</v>
      </c>
      <c r="N137" s="66">
        <v>3432</v>
      </c>
      <c r="O137" s="45">
        <v>2021.55</v>
      </c>
    </row>
    <row r="138" spans="1:17" s="4" customFormat="1" ht="11.25">
      <c r="A138" s="40">
        <v>8</v>
      </c>
      <c r="B138" s="13" t="s">
        <v>280</v>
      </c>
      <c r="C138" s="13" t="s">
        <v>12</v>
      </c>
      <c r="D138" s="13">
        <v>314</v>
      </c>
      <c r="E138" s="5" t="s">
        <v>445</v>
      </c>
      <c r="F138" s="13" t="s">
        <v>369</v>
      </c>
      <c r="G138" s="32">
        <v>150002923</v>
      </c>
      <c r="H138" s="49" t="s">
        <v>447</v>
      </c>
      <c r="I138" s="3" t="s">
        <v>448</v>
      </c>
      <c r="J138" s="35">
        <v>202052054</v>
      </c>
      <c r="K138" s="126" t="s">
        <v>446</v>
      </c>
      <c r="L138" s="126"/>
      <c r="M138" s="64">
        <v>12720</v>
      </c>
      <c r="N138" s="66">
        <v>15860</v>
      </c>
      <c r="O138" s="45">
        <v>12720</v>
      </c>
    </row>
    <row r="139" spans="1:17" s="4" customFormat="1" ht="11.25">
      <c r="A139" s="32">
        <v>9</v>
      </c>
      <c r="B139" s="13" t="s">
        <v>280</v>
      </c>
      <c r="C139" s="13" t="s">
        <v>15</v>
      </c>
      <c r="D139" s="13">
        <v>331</v>
      </c>
      <c r="E139" s="46" t="s">
        <v>422</v>
      </c>
      <c r="F139" s="14" t="s">
        <v>295</v>
      </c>
      <c r="G139" s="32">
        <v>140031012</v>
      </c>
      <c r="H139" s="42" t="s">
        <v>424</v>
      </c>
      <c r="I139" s="13" t="s">
        <v>118</v>
      </c>
      <c r="J139" s="35">
        <v>202203123</v>
      </c>
      <c r="K139" s="126" t="s">
        <v>423</v>
      </c>
      <c r="L139" s="126"/>
      <c r="M139" s="64">
        <v>132000</v>
      </c>
      <c r="N139" s="128">
        <v>1724745</v>
      </c>
      <c r="O139" s="45">
        <v>132000</v>
      </c>
    </row>
    <row r="140" spans="1:17" s="4" customFormat="1" ht="11.25">
      <c r="A140" s="32">
        <v>10</v>
      </c>
      <c r="B140" s="13" t="s">
        <v>280</v>
      </c>
      <c r="C140" s="13" t="s">
        <v>15</v>
      </c>
      <c r="D140" s="13">
        <v>331</v>
      </c>
      <c r="E140" s="5" t="s">
        <v>425</v>
      </c>
      <c r="F140" s="14" t="s">
        <v>295</v>
      </c>
      <c r="G140" s="32">
        <v>140031015</v>
      </c>
      <c r="H140" s="42" t="s">
        <v>426</v>
      </c>
      <c r="I140" s="13" t="s">
        <v>185</v>
      </c>
      <c r="J140" s="35">
        <v>204918544</v>
      </c>
      <c r="K140" s="126" t="s">
        <v>423</v>
      </c>
      <c r="L140" s="126"/>
      <c r="M140" s="64">
        <v>32470</v>
      </c>
      <c r="N140" s="130"/>
      <c r="O140" s="34">
        <v>31500</v>
      </c>
    </row>
    <row r="141" spans="1:17" s="4" customFormat="1" ht="11.25">
      <c r="A141" s="40">
        <v>11</v>
      </c>
      <c r="B141" s="13" t="s">
        <v>280</v>
      </c>
      <c r="C141" s="13" t="s">
        <v>12</v>
      </c>
      <c r="D141" s="13">
        <v>331</v>
      </c>
      <c r="E141" s="47" t="s">
        <v>427</v>
      </c>
      <c r="F141" s="14" t="s">
        <v>295</v>
      </c>
      <c r="G141" s="32">
        <v>150000993</v>
      </c>
      <c r="H141" s="13" t="s">
        <v>429</v>
      </c>
      <c r="I141" s="3" t="s">
        <v>414</v>
      </c>
      <c r="J141" s="30">
        <v>404901834</v>
      </c>
      <c r="K141" s="126" t="s">
        <v>428</v>
      </c>
      <c r="L141" s="126"/>
      <c r="M141" s="64">
        <v>9997</v>
      </c>
      <c r="N141" s="130"/>
      <c r="O141" s="34"/>
    </row>
    <row r="142" spans="1:17" s="4" customFormat="1" ht="11.25">
      <c r="A142" s="32">
        <v>12</v>
      </c>
      <c r="B142" s="13" t="s">
        <v>280</v>
      </c>
      <c r="C142" s="13" t="s">
        <v>12</v>
      </c>
      <c r="D142" s="13">
        <v>331</v>
      </c>
      <c r="E142" s="24" t="s">
        <v>411</v>
      </c>
      <c r="F142" s="14" t="s">
        <v>295</v>
      </c>
      <c r="G142" s="32">
        <v>140030892</v>
      </c>
      <c r="H142" s="13" t="s">
        <v>413</v>
      </c>
      <c r="I142" s="3" t="s">
        <v>414</v>
      </c>
      <c r="J142" s="35">
        <v>404901834</v>
      </c>
      <c r="K142" s="126" t="s">
        <v>412</v>
      </c>
      <c r="L142" s="126"/>
      <c r="M142" s="64">
        <f>15000*1.608</f>
        <v>24120</v>
      </c>
      <c r="N142" s="129"/>
      <c r="O142" s="34">
        <v>14472</v>
      </c>
    </row>
    <row r="143" spans="1:17" s="39" customFormat="1" ht="12.75">
      <c r="A143" s="32">
        <v>13</v>
      </c>
      <c r="B143" s="13" t="s">
        <v>280</v>
      </c>
      <c r="C143" s="13" t="s">
        <v>15</v>
      </c>
      <c r="D143" s="13">
        <v>336</v>
      </c>
      <c r="E143" s="5" t="s">
        <v>449</v>
      </c>
      <c r="F143" s="14" t="s">
        <v>295</v>
      </c>
      <c r="G143" s="32">
        <v>150004086</v>
      </c>
      <c r="H143" s="49" t="s">
        <v>450</v>
      </c>
      <c r="I143" s="3" t="s">
        <v>255</v>
      </c>
      <c r="J143" s="35">
        <v>202161640</v>
      </c>
      <c r="K143" s="126" t="s">
        <v>472</v>
      </c>
      <c r="L143" s="126"/>
      <c r="M143" s="64">
        <v>13680</v>
      </c>
      <c r="N143" s="128">
        <v>3733403</v>
      </c>
      <c r="O143" s="37"/>
    </row>
    <row r="144" spans="1:17" s="39" customFormat="1" ht="12.75">
      <c r="A144" s="40">
        <v>14</v>
      </c>
      <c r="B144" s="13" t="s">
        <v>280</v>
      </c>
      <c r="C144" s="13" t="s">
        <v>15</v>
      </c>
      <c r="D144" s="13">
        <v>336</v>
      </c>
      <c r="E144" s="5" t="s">
        <v>451</v>
      </c>
      <c r="F144" s="14" t="s">
        <v>295</v>
      </c>
      <c r="G144" s="32">
        <v>150005065</v>
      </c>
      <c r="H144" s="49" t="s">
        <v>452</v>
      </c>
      <c r="I144" s="3" t="s">
        <v>255</v>
      </c>
      <c r="J144" s="35">
        <v>202161640</v>
      </c>
      <c r="K144" s="126" t="s">
        <v>473</v>
      </c>
      <c r="L144" s="126"/>
      <c r="M144" s="64">
        <v>11823.15</v>
      </c>
      <c r="N144" s="130"/>
      <c r="O144" s="37"/>
    </row>
    <row r="145" spans="1:16375" s="39" customFormat="1" ht="12.75">
      <c r="A145" s="32">
        <v>15</v>
      </c>
      <c r="B145" s="13" t="s">
        <v>280</v>
      </c>
      <c r="C145" s="13" t="s">
        <v>12</v>
      </c>
      <c r="D145" s="13">
        <v>336</v>
      </c>
      <c r="E145" s="5" t="s">
        <v>454</v>
      </c>
      <c r="F145" s="13" t="s">
        <v>13</v>
      </c>
      <c r="G145" s="32">
        <v>150073502</v>
      </c>
      <c r="H145" s="49" t="s">
        <v>456</v>
      </c>
      <c r="I145" s="13" t="s">
        <v>106</v>
      </c>
      <c r="J145" s="35">
        <v>201991229</v>
      </c>
      <c r="K145" s="126" t="s">
        <v>455</v>
      </c>
      <c r="L145" s="126"/>
      <c r="M145" s="65">
        <v>6190</v>
      </c>
      <c r="N145" s="130"/>
      <c r="O145" s="44"/>
    </row>
    <row r="146" spans="1:16375" s="39" customFormat="1" ht="12.75">
      <c r="A146" s="32">
        <v>16</v>
      </c>
      <c r="B146" s="13" t="s">
        <v>280</v>
      </c>
      <c r="C146" s="13" t="s">
        <v>15</v>
      </c>
      <c r="D146" s="13">
        <v>336</v>
      </c>
      <c r="E146" s="47" t="s">
        <v>457</v>
      </c>
      <c r="F146" s="13" t="s">
        <v>13</v>
      </c>
      <c r="G146" s="32">
        <v>150073497</v>
      </c>
      <c r="H146" s="49" t="s">
        <v>458</v>
      </c>
      <c r="I146" s="13" t="s">
        <v>106</v>
      </c>
      <c r="J146" s="35">
        <v>201991229</v>
      </c>
      <c r="K146" s="126" t="s">
        <v>455</v>
      </c>
      <c r="L146" s="126"/>
      <c r="M146" s="65">
        <v>1500</v>
      </c>
      <c r="N146" s="130"/>
      <c r="O146" s="44"/>
    </row>
    <row r="147" spans="1:16375" s="39" customFormat="1" ht="12.75">
      <c r="A147" s="40">
        <v>17</v>
      </c>
      <c r="B147" s="13" t="s">
        <v>280</v>
      </c>
      <c r="C147" s="13" t="s">
        <v>12</v>
      </c>
      <c r="D147" s="13">
        <v>336</v>
      </c>
      <c r="E147" s="5" t="s">
        <v>454</v>
      </c>
      <c r="F147" s="13" t="s">
        <v>13</v>
      </c>
      <c r="G147" s="32">
        <v>150073510</v>
      </c>
      <c r="H147" s="49" t="s">
        <v>459</v>
      </c>
      <c r="I147" s="13" t="s">
        <v>160</v>
      </c>
      <c r="J147" s="35">
        <v>204927767</v>
      </c>
      <c r="K147" s="126" t="s">
        <v>455</v>
      </c>
      <c r="L147" s="126"/>
      <c r="M147" s="65">
        <v>3348.4</v>
      </c>
      <c r="N147" s="130"/>
      <c r="O147" s="44"/>
    </row>
    <row r="148" spans="1:16375" s="39" customFormat="1" ht="12.75">
      <c r="A148" s="32">
        <v>18</v>
      </c>
      <c r="B148" s="13" t="s">
        <v>280</v>
      </c>
      <c r="C148" s="13" t="s">
        <v>15</v>
      </c>
      <c r="D148" s="13">
        <v>336</v>
      </c>
      <c r="E148" s="47" t="s">
        <v>457</v>
      </c>
      <c r="F148" s="13" t="s">
        <v>13</v>
      </c>
      <c r="G148" s="32">
        <v>150073509</v>
      </c>
      <c r="H148" s="49" t="s">
        <v>460</v>
      </c>
      <c r="I148" s="13" t="s">
        <v>160</v>
      </c>
      <c r="J148" s="35">
        <v>204927767</v>
      </c>
      <c r="K148" s="126" t="s">
        <v>455</v>
      </c>
      <c r="L148" s="126"/>
      <c r="M148" s="65">
        <v>1755.37</v>
      </c>
      <c r="N148" s="130"/>
      <c r="O148" s="44"/>
    </row>
    <row r="149" spans="1:16375" s="39" customFormat="1" ht="12.75">
      <c r="A149" s="32">
        <v>19</v>
      </c>
      <c r="B149" s="13" t="s">
        <v>280</v>
      </c>
      <c r="C149" s="13" t="s">
        <v>12</v>
      </c>
      <c r="D149" s="13">
        <v>336</v>
      </c>
      <c r="E149" s="5" t="s">
        <v>454</v>
      </c>
      <c r="F149" s="13" t="s">
        <v>13</v>
      </c>
      <c r="G149" s="32">
        <v>150073513</v>
      </c>
      <c r="H149" s="49" t="s">
        <v>461</v>
      </c>
      <c r="I149" s="13" t="s">
        <v>129</v>
      </c>
      <c r="J149" s="35">
        <v>202203123</v>
      </c>
      <c r="K149" s="126" t="s">
        <v>455</v>
      </c>
      <c r="L149" s="126"/>
      <c r="M149" s="65">
        <v>2174.25</v>
      </c>
      <c r="N149" s="130"/>
      <c r="O149" s="44"/>
    </row>
    <row r="150" spans="1:16375" s="39" customFormat="1" ht="12.75">
      <c r="A150" s="40">
        <v>20</v>
      </c>
      <c r="B150" s="13" t="s">
        <v>280</v>
      </c>
      <c r="C150" s="13" t="s">
        <v>15</v>
      </c>
      <c r="D150" s="13">
        <v>336</v>
      </c>
      <c r="E150" s="47" t="s">
        <v>457</v>
      </c>
      <c r="F150" s="13" t="s">
        <v>13</v>
      </c>
      <c r="G150" s="32">
        <v>150073514</v>
      </c>
      <c r="H150" s="52" t="s">
        <v>462</v>
      </c>
      <c r="I150" s="13" t="s">
        <v>129</v>
      </c>
      <c r="J150" s="35">
        <v>202203123</v>
      </c>
      <c r="K150" s="126" t="s">
        <v>455</v>
      </c>
      <c r="L150" s="126"/>
      <c r="M150" s="65">
        <v>2259.08</v>
      </c>
      <c r="N150" s="129"/>
      <c r="O150" s="44"/>
    </row>
    <row r="151" spans="1:16375" s="39" customFormat="1" ht="12.75">
      <c r="A151" s="32">
        <v>21</v>
      </c>
      <c r="B151" s="13" t="s">
        <v>280</v>
      </c>
      <c r="C151" s="13" t="s">
        <v>15</v>
      </c>
      <c r="D151" s="13">
        <v>337</v>
      </c>
      <c r="E151" s="5" t="s">
        <v>403</v>
      </c>
      <c r="F151" s="13" t="s">
        <v>13</v>
      </c>
      <c r="G151" s="32">
        <v>150048680</v>
      </c>
      <c r="H151" s="42" t="s">
        <v>405</v>
      </c>
      <c r="I151" s="3" t="s">
        <v>89</v>
      </c>
      <c r="J151" s="35">
        <v>206172078</v>
      </c>
      <c r="K151" s="126" t="s">
        <v>404</v>
      </c>
      <c r="L151" s="126"/>
      <c r="M151" s="65">
        <v>543.54999999999995</v>
      </c>
      <c r="N151" s="66">
        <v>660</v>
      </c>
      <c r="O151" s="45">
        <v>543.54999999999995</v>
      </c>
    </row>
    <row r="152" spans="1:16375" s="62" customFormat="1" ht="11.25">
      <c r="A152" s="32">
        <v>22</v>
      </c>
      <c r="B152" s="13" t="s">
        <v>280</v>
      </c>
      <c r="C152" s="13" t="s">
        <v>15</v>
      </c>
      <c r="D152" s="13">
        <v>392</v>
      </c>
      <c r="E152" s="5" t="s">
        <v>470</v>
      </c>
      <c r="F152" s="13" t="s">
        <v>13</v>
      </c>
      <c r="G152" s="32"/>
      <c r="H152" s="52" t="s">
        <v>468</v>
      </c>
      <c r="I152" s="13" t="s">
        <v>469</v>
      </c>
      <c r="J152" s="35">
        <v>401985633</v>
      </c>
      <c r="K152" s="126" t="s">
        <v>467</v>
      </c>
      <c r="L152" s="126"/>
      <c r="M152" s="64">
        <v>4992</v>
      </c>
      <c r="N152" s="66">
        <v>4998</v>
      </c>
      <c r="O152" s="61"/>
    </row>
    <row r="153" spans="1:16375" s="39" customFormat="1" ht="12.75">
      <c r="A153" s="40">
        <v>23</v>
      </c>
      <c r="B153" s="13" t="s">
        <v>280</v>
      </c>
      <c r="C153" s="13" t="s">
        <v>15</v>
      </c>
      <c r="D153" s="13">
        <v>398</v>
      </c>
      <c r="E153" s="24" t="s">
        <v>406</v>
      </c>
      <c r="F153" s="13" t="s">
        <v>13</v>
      </c>
      <c r="G153" s="32">
        <v>150048700</v>
      </c>
      <c r="H153" s="42" t="s">
        <v>407</v>
      </c>
      <c r="I153" s="3" t="s">
        <v>89</v>
      </c>
      <c r="J153" s="35">
        <v>206172078</v>
      </c>
      <c r="K153" s="126" t="s">
        <v>404</v>
      </c>
      <c r="L153" s="126"/>
      <c r="M153" s="65">
        <v>411.25</v>
      </c>
      <c r="N153" s="66">
        <v>660</v>
      </c>
      <c r="O153" s="45">
        <v>411.25</v>
      </c>
    </row>
    <row r="154" spans="1:16375" s="39" customFormat="1" ht="12.75">
      <c r="A154" s="32">
        <v>24</v>
      </c>
      <c r="B154" s="13" t="s">
        <v>280</v>
      </c>
      <c r="C154" s="13" t="s">
        <v>15</v>
      </c>
      <c r="D154" s="13">
        <v>501</v>
      </c>
      <c r="E154" s="24" t="s">
        <v>408</v>
      </c>
      <c r="F154" s="13" t="s">
        <v>13</v>
      </c>
      <c r="G154" s="32">
        <v>150048801</v>
      </c>
      <c r="H154" s="42" t="s">
        <v>410</v>
      </c>
      <c r="I154" s="3" t="s">
        <v>207</v>
      </c>
      <c r="J154" s="35">
        <v>202177205</v>
      </c>
      <c r="K154" s="126" t="s">
        <v>409</v>
      </c>
      <c r="L154" s="126"/>
      <c r="M154" s="65">
        <v>739</v>
      </c>
      <c r="N154" s="128">
        <v>4180</v>
      </c>
      <c r="O154" s="45">
        <v>739</v>
      </c>
    </row>
    <row r="155" spans="1:16375" s="4" customFormat="1" ht="11.25">
      <c r="A155" s="32">
        <v>25</v>
      </c>
      <c r="B155" s="13" t="s">
        <v>280</v>
      </c>
      <c r="C155" s="13" t="s">
        <v>15</v>
      </c>
      <c r="D155" s="13">
        <v>501</v>
      </c>
      <c r="E155" s="48" t="s">
        <v>430</v>
      </c>
      <c r="F155" s="13" t="s">
        <v>13</v>
      </c>
      <c r="G155" s="32">
        <v>150059166</v>
      </c>
      <c r="H155" s="13" t="s">
        <v>432</v>
      </c>
      <c r="I155" s="3" t="s">
        <v>433</v>
      </c>
      <c r="J155" s="7" t="s">
        <v>434</v>
      </c>
      <c r="K155" s="126" t="s">
        <v>431</v>
      </c>
      <c r="L155" s="126"/>
      <c r="M155" s="64">
        <f>60*7</f>
        <v>420</v>
      </c>
      <c r="N155" s="129"/>
      <c r="O155" s="34"/>
    </row>
    <row r="156" spans="1:16375" s="39" customFormat="1" ht="12.75">
      <c r="A156" s="40">
        <v>26</v>
      </c>
      <c r="B156" s="13" t="s">
        <v>280</v>
      </c>
      <c r="C156" s="13" t="s">
        <v>12</v>
      </c>
      <c r="D156" s="13">
        <v>631</v>
      </c>
      <c r="E156" s="5" t="s">
        <v>315</v>
      </c>
      <c r="F156" s="13" t="s">
        <v>13</v>
      </c>
      <c r="G156" s="32">
        <v>150019916</v>
      </c>
      <c r="H156" s="42" t="s">
        <v>389</v>
      </c>
      <c r="I156" s="13" t="s">
        <v>390</v>
      </c>
      <c r="J156" s="35">
        <v>208145176</v>
      </c>
      <c r="K156" s="126" t="s">
        <v>477</v>
      </c>
      <c r="L156" s="126"/>
      <c r="M156" s="65">
        <v>500</v>
      </c>
      <c r="N156" s="127">
        <v>4400</v>
      </c>
      <c r="O156" s="44">
        <f>207.92+88.76+43.18</f>
        <v>339.86</v>
      </c>
    </row>
    <row r="157" spans="1:16375" s="4" customFormat="1" ht="11.25">
      <c r="A157" s="32">
        <v>27</v>
      </c>
      <c r="B157" s="13" t="s">
        <v>280</v>
      </c>
      <c r="C157" s="13" t="s">
        <v>15</v>
      </c>
      <c r="D157" s="38">
        <v>631</v>
      </c>
      <c r="E157" s="48" t="s">
        <v>38</v>
      </c>
      <c r="F157" s="13" t="s">
        <v>13</v>
      </c>
      <c r="G157" s="32">
        <v>150064504</v>
      </c>
      <c r="H157" s="49" t="s">
        <v>438</v>
      </c>
      <c r="I157" s="3" t="s">
        <v>41</v>
      </c>
      <c r="J157" s="35">
        <v>201954965</v>
      </c>
      <c r="K157" s="126" t="s">
        <v>437</v>
      </c>
      <c r="L157" s="126"/>
      <c r="M157" s="64">
        <v>100</v>
      </c>
      <c r="N157" s="127"/>
      <c r="O157" s="34">
        <v>30</v>
      </c>
    </row>
    <row r="158" spans="1:16375" s="4" customFormat="1" ht="11.25">
      <c r="A158" s="32">
        <v>28</v>
      </c>
      <c r="B158" s="13" t="s">
        <v>280</v>
      </c>
      <c r="C158" s="13" t="s">
        <v>15</v>
      </c>
      <c r="D158" s="13">
        <v>631</v>
      </c>
      <c r="E158" s="47" t="s">
        <v>315</v>
      </c>
      <c r="F158" s="13" t="s">
        <v>13</v>
      </c>
      <c r="G158" s="32">
        <v>150067493</v>
      </c>
      <c r="H158" s="49" t="s">
        <v>440</v>
      </c>
      <c r="I158" s="13" t="s">
        <v>390</v>
      </c>
      <c r="J158" s="35">
        <v>208145176</v>
      </c>
      <c r="K158" s="126" t="s">
        <v>439</v>
      </c>
      <c r="L158" s="126"/>
      <c r="M158" s="64">
        <v>500</v>
      </c>
      <c r="N158" s="127"/>
      <c r="O158" s="34">
        <v>169.63</v>
      </c>
    </row>
    <row r="159" spans="1:16375" s="4" customFormat="1" ht="12.75">
      <c r="A159" s="40">
        <v>29</v>
      </c>
      <c r="B159" s="13" t="s">
        <v>280</v>
      </c>
      <c r="C159" s="13" t="s">
        <v>56</v>
      </c>
      <c r="D159" s="13">
        <v>631</v>
      </c>
      <c r="E159" s="5" t="s">
        <v>463</v>
      </c>
      <c r="F159" s="13" t="s">
        <v>369</v>
      </c>
      <c r="G159" s="32">
        <v>150007433</v>
      </c>
      <c r="H159" s="49" t="s">
        <v>465</v>
      </c>
      <c r="I159" s="3" t="s">
        <v>466</v>
      </c>
      <c r="J159" s="35">
        <v>206339229</v>
      </c>
      <c r="K159" s="126" t="s">
        <v>464</v>
      </c>
      <c r="L159" s="126"/>
      <c r="M159" s="64">
        <v>21500</v>
      </c>
      <c r="N159" s="66">
        <v>82977</v>
      </c>
      <c r="O159" s="53"/>
      <c r="P159" s="54"/>
      <c r="Q159" s="54"/>
      <c r="R159" s="54"/>
      <c r="S159" s="58"/>
      <c r="T159" s="58"/>
      <c r="U159" s="58"/>
      <c r="V159" s="58"/>
      <c r="W159" s="59"/>
      <c r="X159" s="60"/>
      <c r="Y159" s="54"/>
      <c r="Z159" s="54"/>
      <c r="AA159" s="36"/>
      <c r="AB159" s="55"/>
      <c r="AC159" s="54"/>
      <c r="AD159" s="56"/>
      <c r="AE159" s="57"/>
      <c r="AF159" s="54"/>
      <c r="AG159" s="54"/>
      <c r="AH159" s="54"/>
      <c r="AI159" s="58"/>
      <c r="AJ159" s="58"/>
      <c r="AK159" s="58"/>
      <c r="AL159" s="58"/>
      <c r="AM159" s="59"/>
      <c r="AN159" s="60"/>
      <c r="AO159" s="54"/>
      <c r="AP159" s="54"/>
      <c r="AQ159" s="36"/>
      <c r="AR159" s="55"/>
      <c r="AS159" s="54"/>
      <c r="AT159" s="56"/>
      <c r="AU159" s="57"/>
      <c r="AV159" s="54"/>
      <c r="AW159" s="54"/>
      <c r="AX159" s="54"/>
      <c r="AY159" s="58"/>
      <c r="AZ159" s="58"/>
      <c r="BA159" s="58"/>
      <c r="BB159" s="58"/>
      <c r="BC159" s="59"/>
      <c r="BD159" s="60"/>
      <c r="BE159" s="54"/>
      <c r="BF159" s="54"/>
      <c r="BG159" s="36"/>
      <c r="BH159" s="55"/>
      <c r="BI159" s="54"/>
      <c r="BJ159" s="56"/>
      <c r="BK159" s="57"/>
      <c r="BL159" s="54"/>
      <c r="BM159" s="54"/>
      <c r="BN159" s="54"/>
      <c r="BO159" s="58"/>
      <c r="BP159" s="58"/>
      <c r="BQ159" s="58"/>
      <c r="BR159" s="58"/>
      <c r="BS159" s="59"/>
      <c r="BT159" s="60"/>
      <c r="BU159" s="54"/>
      <c r="BV159" s="54"/>
      <c r="BW159" s="36"/>
      <c r="BX159" s="55"/>
      <c r="BY159" s="54"/>
      <c r="BZ159" s="56"/>
      <c r="CA159" s="57"/>
      <c r="CB159" s="54"/>
      <c r="CC159" s="54"/>
      <c r="CD159" s="54"/>
      <c r="CE159" s="58"/>
      <c r="CF159" s="58"/>
      <c r="CG159" s="58"/>
      <c r="CH159" s="58"/>
      <c r="CI159" s="59"/>
      <c r="CJ159" s="60"/>
      <c r="CK159" s="54"/>
      <c r="CL159" s="54"/>
      <c r="CM159" s="36"/>
      <c r="CN159" s="55"/>
      <c r="CO159" s="54"/>
      <c r="CP159" s="56"/>
      <c r="CQ159" s="57"/>
      <c r="CR159" s="54"/>
      <c r="CS159" s="54"/>
      <c r="CT159" s="54"/>
      <c r="CU159" s="58"/>
      <c r="CV159" s="58"/>
      <c r="CW159" s="58"/>
      <c r="CX159" s="58"/>
      <c r="CY159" s="59"/>
      <c r="CZ159" s="60"/>
      <c r="DA159" s="54"/>
      <c r="DB159" s="54"/>
      <c r="DC159" s="36"/>
      <c r="DD159" s="55"/>
      <c r="DE159" s="54"/>
      <c r="DF159" s="56"/>
      <c r="DG159" s="57"/>
      <c r="DH159" s="54"/>
      <c r="DI159" s="54"/>
      <c r="DJ159" s="54"/>
      <c r="DK159" s="58"/>
      <c r="DL159" s="58"/>
      <c r="DM159" s="58"/>
      <c r="DN159" s="58"/>
      <c r="DO159" s="59"/>
      <c r="DP159" s="60"/>
      <c r="DQ159" s="54"/>
      <c r="DR159" s="54"/>
      <c r="DS159" s="36"/>
      <c r="DT159" s="55"/>
      <c r="DU159" s="54"/>
      <c r="DV159" s="56"/>
      <c r="DW159" s="57"/>
      <c r="DX159" s="54"/>
      <c r="DY159" s="54"/>
      <c r="DZ159" s="54"/>
      <c r="EA159" s="58"/>
      <c r="EB159" s="58"/>
      <c r="EC159" s="58"/>
      <c r="ED159" s="58"/>
      <c r="EE159" s="59"/>
      <c r="EF159" s="60"/>
      <c r="EG159" s="54"/>
      <c r="EH159" s="54"/>
      <c r="EI159" s="36"/>
      <c r="EJ159" s="55"/>
      <c r="EK159" s="54"/>
      <c r="EL159" s="56"/>
      <c r="EM159" s="57"/>
      <c r="EN159" s="54"/>
      <c r="EO159" s="54"/>
      <c r="EP159" s="54"/>
      <c r="EQ159" s="58"/>
      <c r="ER159" s="58"/>
      <c r="ES159" s="58"/>
      <c r="ET159" s="58"/>
      <c r="EU159" s="59"/>
      <c r="EV159" s="60"/>
      <c r="EW159" s="54"/>
      <c r="EX159" s="54"/>
      <c r="EY159" s="36"/>
      <c r="EZ159" s="55"/>
      <c r="FA159" s="54"/>
      <c r="FB159" s="56"/>
      <c r="FC159" s="57"/>
      <c r="FD159" s="54"/>
      <c r="FE159" s="54"/>
      <c r="FF159" s="54"/>
      <c r="FG159" s="58"/>
      <c r="FH159" s="58"/>
      <c r="FI159" s="58"/>
      <c r="FJ159" s="58"/>
      <c r="FK159" s="59"/>
      <c r="FL159" s="60"/>
      <c r="FM159" s="54"/>
      <c r="FN159" s="54"/>
      <c r="FO159" s="36"/>
      <c r="FP159" s="55"/>
      <c r="FQ159" s="54"/>
      <c r="FR159" s="56"/>
      <c r="FS159" s="57"/>
      <c r="FT159" s="54"/>
      <c r="FU159" s="54"/>
      <c r="FV159" s="54"/>
      <c r="FW159" s="58"/>
      <c r="FX159" s="58"/>
      <c r="FY159" s="58"/>
      <c r="FZ159" s="58"/>
      <c r="GA159" s="59"/>
      <c r="GB159" s="60"/>
      <c r="GC159" s="54"/>
      <c r="GD159" s="54"/>
      <c r="GE159" s="36"/>
      <c r="GF159" s="55"/>
      <c r="GG159" s="54"/>
      <c r="GH159" s="56"/>
      <c r="GI159" s="57"/>
      <c r="GJ159" s="54"/>
      <c r="GK159" s="54"/>
      <c r="GL159" s="54"/>
      <c r="GM159" s="58"/>
      <c r="GN159" s="58"/>
      <c r="GO159" s="58"/>
      <c r="GP159" s="58"/>
      <c r="GQ159" s="59"/>
      <c r="GR159" s="60"/>
      <c r="GS159" s="54"/>
      <c r="GT159" s="54"/>
      <c r="GU159" s="36"/>
      <c r="GV159" s="55"/>
      <c r="GW159" s="54"/>
      <c r="GX159" s="56"/>
      <c r="GY159" s="57"/>
      <c r="GZ159" s="54"/>
      <c r="HA159" s="54"/>
      <c r="HB159" s="54"/>
      <c r="HC159" s="58"/>
      <c r="HD159" s="58"/>
      <c r="HE159" s="58"/>
      <c r="HF159" s="58"/>
      <c r="HG159" s="59"/>
      <c r="HH159" s="60"/>
      <c r="HI159" s="54"/>
      <c r="HJ159" s="54"/>
      <c r="HK159" s="36"/>
      <c r="HL159" s="55"/>
      <c r="HM159" s="54"/>
      <c r="HN159" s="56"/>
      <c r="HO159" s="57"/>
      <c r="HP159" s="54"/>
      <c r="HQ159" s="54"/>
      <c r="HR159" s="54"/>
      <c r="HS159" s="58"/>
      <c r="HT159" s="58"/>
      <c r="HU159" s="58"/>
      <c r="HV159" s="58"/>
      <c r="HW159" s="59"/>
      <c r="HX159" s="60"/>
      <c r="HY159" s="54"/>
      <c r="HZ159" s="54"/>
      <c r="IA159" s="36"/>
      <c r="IB159" s="55"/>
      <c r="IC159" s="54"/>
      <c r="ID159" s="56"/>
      <c r="IE159" s="57"/>
      <c r="IF159" s="54"/>
      <c r="IG159" s="54"/>
      <c r="IH159" s="54"/>
      <c r="II159" s="58"/>
      <c r="IJ159" s="58"/>
      <c r="IK159" s="58"/>
      <c r="IL159" s="58"/>
      <c r="IM159" s="59"/>
      <c r="IN159" s="60"/>
      <c r="IO159" s="54"/>
      <c r="IP159" s="54"/>
      <c r="IQ159" s="36"/>
      <c r="IR159" s="55"/>
      <c r="IS159" s="54"/>
      <c r="IT159" s="56"/>
      <c r="IU159" s="57"/>
      <c r="IV159" s="54"/>
      <c r="IW159" s="54"/>
      <c r="IX159" s="54"/>
      <c r="IY159" s="58"/>
      <c r="IZ159" s="58"/>
      <c r="JA159" s="58"/>
      <c r="JB159" s="58"/>
      <c r="JC159" s="59"/>
      <c r="JD159" s="60"/>
      <c r="JE159" s="54"/>
      <c r="JF159" s="54"/>
      <c r="JG159" s="36"/>
      <c r="JH159" s="55"/>
      <c r="JI159" s="54"/>
      <c r="JJ159" s="56"/>
      <c r="JK159" s="57"/>
      <c r="JL159" s="54"/>
      <c r="JM159" s="54"/>
      <c r="JN159" s="54"/>
      <c r="JO159" s="58"/>
      <c r="JP159" s="58"/>
      <c r="JQ159" s="58"/>
      <c r="JR159" s="58"/>
      <c r="JS159" s="59"/>
      <c r="JT159" s="60"/>
      <c r="JU159" s="54"/>
      <c r="JV159" s="54"/>
      <c r="JW159" s="36"/>
      <c r="JX159" s="55"/>
      <c r="JY159" s="54"/>
      <c r="JZ159" s="56"/>
      <c r="KA159" s="57"/>
      <c r="KB159" s="54"/>
      <c r="KC159" s="54"/>
      <c r="KD159" s="54"/>
      <c r="KE159" s="58"/>
      <c r="KF159" s="58"/>
      <c r="KG159" s="58"/>
      <c r="KH159" s="58"/>
      <c r="KI159" s="59"/>
      <c r="KJ159" s="60"/>
      <c r="KK159" s="54"/>
      <c r="KL159" s="54"/>
      <c r="KM159" s="36"/>
      <c r="KN159" s="55"/>
      <c r="KO159" s="54"/>
      <c r="KP159" s="56"/>
      <c r="KQ159" s="57"/>
      <c r="KR159" s="54"/>
      <c r="KS159" s="54"/>
      <c r="KT159" s="54"/>
      <c r="KU159" s="58"/>
      <c r="KV159" s="58"/>
      <c r="KW159" s="58"/>
      <c r="KX159" s="58"/>
      <c r="KY159" s="59"/>
      <c r="KZ159" s="60"/>
      <c r="LA159" s="54"/>
      <c r="LB159" s="54"/>
      <c r="LC159" s="36"/>
      <c r="LD159" s="55"/>
      <c r="LE159" s="54"/>
      <c r="LF159" s="56"/>
      <c r="LG159" s="57"/>
      <c r="LH159" s="54"/>
      <c r="LI159" s="54"/>
      <c r="LJ159" s="54"/>
      <c r="LK159" s="58"/>
      <c r="LL159" s="58"/>
      <c r="LM159" s="58"/>
      <c r="LN159" s="58"/>
      <c r="LO159" s="59"/>
      <c r="LP159" s="60"/>
      <c r="LQ159" s="54"/>
      <c r="LR159" s="54"/>
      <c r="LS159" s="36"/>
      <c r="LT159" s="55"/>
      <c r="LU159" s="54"/>
      <c r="LV159" s="56"/>
      <c r="LW159" s="57"/>
      <c r="LX159" s="54"/>
      <c r="LY159" s="54"/>
      <c r="LZ159" s="54"/>
      <c r="MA159" s="58"/>
      <c r="MB159" s="58"/>
      <c r="MC159" s="58"/>
      <c r="MD159" s="58"/>
      <c r="ME159" s="59"/>
      <c r="MF159" s="60"/>
      <c r="MG159" s="54"/>
      <c r="MH159" s="54"/>
      <c r="MI159" s="36"/>
      <c r="MJ159" s="55"/>
      <c r="MK159" s="54"/>
      <c r="ML159" s="56"/>
      <c r="MM159" s="57"/>
      <c r="MN159" s="54"/>
      <c r="MO159" s="54"/>
      <c r="MP159" s="54"/>
      <c r="MQ159" s="58"/>
      <c r="MR159" s="58"/>
      <c r="MS159" s="58"/>
      <c r="MT159" s="58"/>
      <c r="MU159" s="59"/>
      <c r="MV159" s="60"/>
      <c r="MW159" s="54"/>
      <c r="MX159" s="54"/>
      <c r="MY159" s="36"/>
      <c r="MZ159" s="55"/>
      <c r="NA159" s="54"/>
      <c r="NB159" s="56"/>
      <c r="NC159" s="57"/>
      <c r="ND159" s="54"/>
      <c r="NE159" s="54"/>
      <c r="NF159" s="54"/>
      <c r="NG159" s="58"/>
      <c r="NH159" s="58"/>
      <c r="NI159" s="58"/>
      <c r="NJ159" s="58"/>
      <c r="NK159" s="59"/>
      <c r="NL159" s="60"/>
      <c r="NM159" s="54"/>
      <c r="NN159" s="54"/>
      <c r="NO159" s="36"/>
      <c r="NP159" s="55"/>
      <c r="NQ159" s="54"/>
      <c r="NR159" s="56"/>
      <c r="NS159" s="57"/>
      <c r="NT159" s="54"/>
      <c r="NU159" s="54"/>
      <c r="NV159" s="54"/>
      <c r="NW159" s="58"/>
      <c r="NX159" s="58"/>
      <c r="NY159" s="58"/>
      <c r="NZ159" s="58"/>
      <c r="OA159" s="59"/>
      <c r="OB159" s="60"/>
      <c r="OC159" s="54"/>
      <c r="OD159" s="54"/>
      <c r="OE159" s="36"/>
      <c r="OF159" s="55"/>
      <c r="OG159" s="54"/>
      <c r="OH159" s="56"/>
      <c r="OI159" s="57"/>
      <c r="OJ159" s="54"/>
      <c r="OK159" s="54"/>
      <c r="OL159" s="54"/>
      <c r="OM159" s="58"/>
      <c r="ON159" s="58"/>
      <c r="OO159" s="58"/>
      <c r="OP159" s="58"/>
      <c r="OQ159" s="59"/>
      <c r="OR159" s="60"/>
      <c r="OS159" s="54"/>
      <c r="OT159" s="54"/>
      <c r="OU159" s="36"/>
      <c r="OV159" s="55"/>
      <c r="OW159" s="54"/>
      <c r="OX159" s="56"/>
      <c r="OY159" s="57"/>
      <c r="OZ159" s="54"/>
      <c r="PA159" s="54"/>
      <c r="PB159" s="54"/>
      <c r="PC159" s="58"/>
      <c r="PD159" s="58"/>
      <c r="PE159" s="58"/>
      <c r="PF159" s="58"/>
      <c r="PG159" s="59"/>
      <c r="PH159" s="60"/>
      <c r="PI159" s="54"/>
      <c r="PJ159" s="54"/>
      <c r="PK159" s="36"/>
      <c r="PL159" s="55"/>
      <c r="PM159" s="54"/>
      <c r="PN159" s="56"/>
      <c r="PO159" s="57"/>
      <c r="PP159" s="54"/>
      <c r="PQ159" s="54"/>
      <c r="PR159" s="54"/>
      <c r="PS159" s="58"/>
      <c r="PT159" s="58"/>
      <c r="PU159" s="58"/>
      <c r="PV159" s="58"/>
      <c r="PW159" s="59"/>
      <c r="PX159" s="60"/>
      <c r="PY159" s="54"/>
      <c r="PZ159" s="54"/>
      <c r="QA159" s="36"/>
      <c r="QB159" s="55"/>
      <c r="QC159" s="54"/>
      <c r="QD159" s="56"/>
      <c r="QE159" s="57"/>
      <c r="QF159" s="54"/>
      <c r="QG159" s="54"/>
      <c r="QH159" s="54"/>
      <c r="QI159" s="58"/>
      <c r="QJ159" s="58"/>
      <c r="QK159" s="58"/>
      <c r="QL159" s="58"/>
      <c r="QM159" s="59"/>
      <c r="QN159" s="60"/>
      <c r="QO159" s="54"/>
      <c r="QP159" s="54"/>
      <c r="QQ159" s="36"/>
      <c r="QR159" s="55"/>
      <c r="QS159" s="54"/>
      <c r="QT159" s="56"/>
      <c r="QU159" s="57"/>
      <c r="QV159" s="54"/>
      <c r="QW159" s="54"/>
      <c r="QX159" s="54"/>
      <c r="QY159" s="58"/>
      <c r="QZ159" s="58"/>
      <c r="RA159" s="58"/>
      <c r="RB159" s="58"/>
      <c r="RC159" s="59"/>
      <c r="RD159" s="60"/>
      <c r="RE159" s="54"/>
      <c r="RF159" s="54"/>
      <c r="RG159" s="36"/>
      <c r="RH159" s="55"/>
      <c r="RI159" s="54"/>
      <c r="RJ159" s="56"/>
      <c r="RK159" s="57"/>
      <c r="RL159" s="54"/>
      <c r="RM159" s="54"/>
      <c r="RN159" s="54"/>
      <c r="RO159" s="58"/>
      <c r="RP159" s="58"/>
      <c r="RQ159" s="58"/>
      <c r="RR159" s="58"/>
      <c r="RS159" s="59"/>
      <c r="RT159" s="60"/>
      <c r="RU159" s="54"/>
      <c r="RV159" s="54"/>
      <c r="RW159" s="36"/>
      <c r="RX159" s="55"/>
      <c r="RY159" s="54"/>
      <c r="RZ159" s="56"/>
      <c r="SA159" s="57"/>
      <c r="SB159" s="54"/>
      <c r="SC159" s="54"/>
      <c r="SD159" s="54"/>
      <c r="SE159" s="58"/>
      <c r="SF159" s="58"/>
      <c r="SG159" s="58"/>
      <c r="SH159" s="58"/>
      <c r="SI159" s="59"/>
      <c r="SJ159" s="60"/>
      <c r="SK159" s="54"/>
      <c r="SL159" s="54"/>
      <c r="SM159" s="36"/>
      <c r="SN159" s="55"/>
      <c r="SO159" s="54"/>
      <c r="SP159" s="56"/>
      <c r="SQ159" s="57"/>
      <c r="SR159" s="54"/>
      <c r="SS159" s="54"/>
      <c r="ST159" s="54"/>
      <c r="SU159" s="58"/>
      <c r="SV159" s="58"/>
      <c r="SW159" s="58"/>
      <c r="SX159" s="58"/>
      <c r="SY159" s="59"/>
      <c r="SZ159" s="60"/>
      <c r="TA159" s="54"/>
      <c r="TB159" s="54"/>
      <c r="TC159" s="36"/>
      <c r="TD159" s="55"/>
      <c r="TE159" s="54"/>
      <c r="TF159" s="56"/>
      <c r="TG159" s="57"/>
      <c r="TH159" s="54"/>
      <c r="TI159" s="54"/>
      <c r="TJ159" s="54"/>
      <c r="TK159" s="58"/>
      <c r="TL159" s="58"/>
      <c r="TM159" s="58"/>
      <c r="TN159" s="58"/>
      <c r="TO159" s="59"/>
      <c r="TP159" s="60"/>
      <c r="TQ159" s="54"/>
      <c r="TR159" s="54"/>
      <c r="TS159" s="36"/>
      <c r="TT159" s="55"/>
      <c r="TU159" s="54"/>
      <c r="TV159" s="56"/>
      <c r="TW159" s="57"/>
      <c r="TX159" s="54"/>
      <c r="TY159" s="54"/>
      <c r="TZ159" s="54"/>
      <c r="UA159" s="58"/>
      <c r="UB159" s="58"/>
      <c r="UC159" s="58"/>
      <c r="UD159" s="58"/>
      <c r="UE159" s="59"/>
      <c r="UF159" s="60"/>
      <c r="UG159" s="54"/>
      <c r="UH159" s="54"/>
      <c r="UI159" s="36"/>
      <c r="UJ159" s="55"/>
      <c r="UK159" s="54"/>
      <c r="UL159" s="56"/>
      <c r="UM159" s="57"/>
      <c r="UN159" s="54"/>
      <c r="UO159" s="54"/>
      <c r="UP159" s="54"/>
      <c r="UQ159" s="58"/>
      <c r="UR159" s="58"/>
      <c r="US159" s="58"/>
      <c r="UT159" s="58"/>
      <c r="UU159" s="59"/>
      <c r="UV159" s="60"/>
      <c r="UW159" s="54"/>
      <c r="UX159" s="54"/>
      <c r="UY159" s="36"/>
      <c r="UZ159" s="55"/>
      <c r="VA159" s="54"/>
      <c r="VB159" s="56"/>
      <c r="VC159" s="57"/>
      <c r="VD159" s="54"/>
      <c r="VE159" s="54"/>
      <c r="VF159" s="54"/>
      <c r="VG159" s="58"/>
      <c r="VH159" s="58"/>
      <c r="VI159" s="58"/>
      <c r="VJ159" s="58"/>
      <c r="VK159" s="59"/>
      <c r="VL159" s="60"/>
      <c r="VM159" s="54"/>
      <c r="VN159" s="54"/>
      <c r="VO159" s="36"/>
      <c r="VP159" s="55"/>
      <c r="VQ159" s="54"/>
      <c r="VR159" s="56"/>
      <c r="VS159" s="57"/>
      <c r="VT159" s="54"/>
      <c r="VU159" s="54"/>
      <c r="VV159" s="54"/>
      <c r="VW159" s="58"/>
      <c r="VX159" s="58"/>
      <c r="VY159" s="58"/>
      <c r="VZ159" s="58"/>
      <c r="WA159" s="59"/>
      <c r="WB159" s="60"/>
      <c r="WC159" s="54"/>
      <c r="WD159" s="54"/>
      <c r="WE159" s="36"/>
      <c r="WF159" s="55"/>
      <c r="WG159" s="54"/>
      <c r="WH159" s="56"/>
      <c r="WI159" s="57"/>
      <c r="WJ159" s="54"/>
      <c r="WK159" s="54"/>
      <c r="WL159" s="54"/>
      <c r="WM159" s="58"/>
      <c r="WN159" s="58"/>
      <c r="WO159" s="58"/>
      <c r="WP159" s="58"/>
      <c r="WQ159" s="59"/>
      <c r="WR159" s="60"/>
      <c r="WS159" s="54"/>
      <c r="WT159" s="54"/>
      <c r="WU159" s="36"/>
      <c r="WV159" s="55"/>
      <c r="WW159" s="54"/>
      <c r="WX159" s="56"/>
      <c r="WY159" s="57"/>
      <c r="WZ159" s="54"/>
      <c r="XA159" s="54"/>
      <c r="XB159" s="54"/>
      <c r="XC159" s="58"/>
      <c r="XD159" s="58"/>
      <c r="XE159" s="58"/>
      <c r="XF159" s="58"/>
      <c r="XG159" s="59"/>
      <c r="XH159" s="60"/>
      <c r="XI159" s="54"/>
      <c r="XJ159" s="54"/>
      <c r="XK159" s="36"/>
      <c r="XL159" s="55"/>
      <c r="XM159" s="54"/>
      <c r="XN159" s="56"/>
      <c r="XO159" s="57"/>
      <c r="XP159" s="54"/>
      <c r="XQ159" s="54"/>
      <c r="XR159" s="54"/>
      <c r="XS159" s="58"/>
      <c r="XT159" s="58"/>
      <c r="XU159" s="58"/>
      <c r="XV159" s="58"/>
      <c r="XW159" s="59"/>
      <c r="XX159" s="60"/>
      <c r="XY159" s="54"/>
      <c r="XZ159" s="54"/>
      <c r="YA159" s="36"/>
      <c r="YB159" s="55"/>
      <c r="YC159" s="54"/>
      <c r="YD159" s="56"/>
      <c r="YE159" s="57"/>
      <c r="YF159" s="54"/>
      <c r="YG159" s="54"/>
      <c r="YH159" s="54"/>
      <c r="YI159" s="58"/>
      <c r="YJ159" s="58"/>
      <c r="YK159" s="58"/>
      <c r="YL159" s="58"/>
      <c r="YM159" s="59"/>
      <c r="YN159" s="60"/>
      <c r="YO159" s="54"/>
      <c r="YP159" s="54"/>
      <c r="YQ159" s="36"/>
      <c r="YR159" s="55"/>
      <c r="YS159" s="54"/>
      <c r="YT159" s="56"/>
      <c r="YU159" s="57"/>
      <c r="YV159" s="54"/>
      <c r="YW159" s="54"/>
      <c r="YX159" s="54"/>
      <c r="YY159" s="58"/>
      <c r="YZ159" s="58"/>
      <c r="ZA159" s="58"/>
      <c r="ZB159" s="58"/>
      <c r="ZC159" s="59"/>
      <c r="ZD159" s="60"/>
      <c r="ZE159" s="54"/>
      <c r="ZF159" s="54"/>
      <c r="ZG159" s="36"/>
      <c r="ZH159" s="55"/>
      <c r="ZI159" s="54"/>
      <c r="ZJ159" s="56"/>
      <c r="ZK159" s="57"/>
      <c r="ZL159" s="54"/>
      <c r="ZM159" s="54"/>
      <c r="ZN159" s="54"/>
      <c r="ZO159" s="58"/>
      <c r="ZP159" s="58"/>
      <c r="ZQ159" s="58"/>
      <c r="ZR159" s="58"/>
      <c r="ZS159" s="59"/>
      <c r="ZT159" s="60"/>
      <c r="ZU159" s="54"/>
      <c r="ZV159" s="54"/>
      <c r="ZW159" s="36"/>
      <c r="ZX159" s="55"/>
      <c r="ZY159" s="54"/>
      <c r="ZZ159" s="56"/>
      <c r="AAA159" s="57"/>
      <c r="AAB159" s="54"/>
      <c r="AAC159" s="54"/>
      <c r="AAD159" s="54"/>
      <c r="AAE159" s="58"/>
      <c r="AAF159" s="58"/>
      <c r="AAG159" s="58"/>
      <c r="AAH159" s="58"/>
      <c r="AAI159" s="59"/>
      <c r="AAJ159" s="60"/>
      <c r="AAK159" s="54"/>
      <c r="AAL159" s="54"/>
      <c r="AAM159" s="36"/>
      <c r="AAN159" s="55"/>
      <c r="AAO159" s="54"/>
      <c r="AAP159" s="56"/>
      <c r="AAQ159" s="57"/>
      <c r="AAR159" s="54"/>
      <c r="AAS159" s="54"/>
      <c r="AAT159" s="54"/>
      <c r="AAU159" s="58"/>
      <c r="AAV159" s="58"/>
      <c r="AAW159" s="58"/>
      <c r="AAX159" s="58"/>
      <c r="AAY159" s="59"/>
      <c r="AAZ159" s="60"/>
      <c r="ABA159" s="54"/>
      <c r="ABB159" s="54"/>
      <c r="ABC159" s="36"/>
      <c r="ABD159" s="55"/>
      <c r="ABE159" s="54"/>
      <c r="ABF159" s="56"/>
      <c r="ABG159" s="57"/>
      <c r="ABH159" s="54"/>
      <c r="ABI159" s="54"/>
      <c r="ABJ159" s="54"/>
      <c r="ABK159" s="58"/>
      <c r="ABL159" s="58"/>
      <c r="ABM159" s="58"/>
      <c r="ABN159" s="58"/>
      <c r="ABO159" s="59"/>
      <c r="ABP159" s="60"/>
      <c r="ABQ159" s="54"/>
      <c r="ABR159" s="54"/>
      <c r="ABS159" s="36"/>
      <c r="ABT159" s="55"/>
      <c r="ABU159" s="54"/>
      <c r="ABV159" s="56"/>
      <c r="ABW159" s="57"/>
      <c r="ABX159" s="54"/>
      <c r="ABY159" s="54"/>
      <c r="ABZ159" s="54"/>
      <c r="ACA159" s="58"/>
      <c r="ACB159" s="58"/>
      <c r="ACC159" s="58"/>
      <c r="ACD159" s="58"/>
      <c r="ACE159" s="59"/>
      <c r="ACF159" s="60"/>
      <c r="ACG159" s="54"/>
      <c r="ACH159" s="54"/>
      <c r="ACI159" s="36"/>
      <c r="ACJ159" s="55"/>
      <c r="ACK159" s="54"/>
      <c r="ACL159" s="56"/>
      <c r="ACM159" s="57"/>
      <c r="ACN159" s="54"/>
      <c r="ACO159" s="54"/>
      <c r="ACP159" s="54"/>
      <c r="ACQ159" s="58"/>
      <c r="ACR159" s="58"/>
      <c r="ACS159" s="58"/>
      <c r="ACT159" s="58"/>
      <c r="ACU159" s="59"/>
      <c r="ACV159" s="60"/>
      <c r="ACW159" s="54"/>
      <c r="ACX159" s="54"/>
      <c r="ACY159" s="36"/>
      <c r="ACZ159" s="55"/>
      <c r="ADA159" s="54"/>
      <c r="ADB159" s="56"/>
      <c r="ADC159" s="57"/>
      <c r="ADD159" s="54"/>
      <c r="ADE159" s="54"/>
      <c r="ADF159" s="54"/>
      <c r="ADG159" s="58"/>
      <c r="ADH159" s="58"/>
      <c r="ADI159" s="58"/>
      <c r="ADJ159" s="58"/>
      <c r="ADK159" s="59"/>
      <c r="ADL159" s="60"/>
      <c r="ADM159" s="54"/>
      <c r="ADN159" s="54"/>
      <c r="ADO159" s="36"/>
      <c r="ADP159" s="55"/>
      <c r="ADQ159" s="54"/>
      <c r="ADR159" s="56"/>
      <c r="ADS159" s="57"/>
      <c r="ADT159" s="54"/>
      <c r="ADU159" s="54"/>
      <c r="ADV159" s="54"/>
      <c r="ADW159" s="58"/>
      <c r="ADX159" s="58"/>
      <c r="ADY159" s="58"/>
      <c r="ADZ159" s="58"/>
      <c r="AEA159" s="59"/>
      <c r="AEB159" s="60"/>
      <c r="AEC159" s="54"/>
      <c r="AED159" s="54"/>
      <c r="AEE159" s="36"/>
      <c r="AEF159" s="55"/>
      <c r="AEG159" s="54"/>
      <c r="AEH159" s="56"/>
      <c r="AEI159" s="57"/>
      <c r="AEJ159" s="54"/>
      <c r="AEK159" s="54"/>
      <c r="AEL159" s="54"/>
      <c r="AEM159" s="58"/>
      <c r="AEN159" s="58"/>
      <c r="AEO159" s="58"/>
      <c r="AEP159" s="58"/>
      <c r="AEQ159" s="59"/>
      <c r="AER159" s="60"/>
      <c r="AES159" s="54"/>
      <c r="AET159" s="54"/>
      <c r="AEU159" s="36"/>
      <c r="AEV159" s="55"/>
      <c r="AEW159" s="54"/>
      <c r="AEX159" s="56"/>
      <c r="AEY159" s="57"/>
      <c r="AEZ159" s="54"/>
      <c r="AFA159" s="54"/>
      <c r="AFB159" s="54"/>
      <c r="AFC159" s="58"/>
      <c r="AFD159" s="58"/>
      <c r="AFE159" s="58"/>
      <c r="AFF159" s="58"/>
      <c r="AFG159" s="59"/>
      <c r="AFH159" s="60"/>
      <c r="AFI159" s="54"/>
      <c r="AFJ159" s="54"/>
      <c r="AFK159" s="36"/>
      <c r="AFL159" s="55"/>
      <c r="AFM159" s="54"/>
      <c r="AFN159" s="56"/>
      <c r="AFO159" s="57"/>
      <c r="AFP159" s="54"/>
      <c r="AFQ159" s="54"/>
      <c r="AFR159" s="54"/>
      <c r="AFS159" s="58"/>
      <c r="AFT159" s="58"/>
      <c r="AFU159" s="58"/>
      <c r="AFV159" s="58"/>
      <c r="AFW159" s="59"/>
      <c r="AFX159" s="60"/>
      <c r="AFY159" s="54"/>
      <c r="AFZ159" s="54"/>
      <c r="AGA159" s="36"/>
      <c r="AGB159" s="55"/>
      <c r="AGC159" s="54"/>
      <c r="AGD159" s="56"/>
      <c r="AGE159" s="57"/>
      <c r="AGF159" s="54"/>
      <c r="AGG159" s="54"/>
      <c r="AGH159" s="54"/>
      <c r="AGI159" s="58"/>
      <c r="AGJ159" s="58"/>
      <c r="AGK159" s="58"/>
      <c r="AGL159" s="58"/>
      <c r="AGM159" s="59"/>
      <c r="AGN159" s="60"/>
      <c r="AGO159" s="54"/>
      <c r="AGP159" s="54"/>
      <c r="AGQ159" s="36"/>
      <c r="AGR159" s="55"/>
      <c r="AGS159" s="54"/>
      <c r="AGT159" s="56"/>
      <c r="AGU159" s="57"/>
      <c r="AGV159" s="54"/>
      <c r="AGW159" s="54"/>
      <c r="AGX159" s="54"/>
      <c r="AGY159" s="58"/>
      <c r="AGZ159" s="58"/>
      <c r="AHA159" s="58"/>
      <c r="AHB159" s="58"/>
      <c r="AHC159" s="59"/>
      <c r="AHD159" s="60"/>
      <c r="AHE159" s="54"/>
      <c r="AHF159" s="54"/>
      <c r="AHG159" s="36"/>
      <c r="AHH159" s="55"/>
      <c r="AHI159" s="54"/>
      <c r="AHJ159" s="56"/>
      <c r="AHK159" s="57"/>
      <c r="AHL159" s="54"/>
      <c r="AHM159" s="54"/>
      <c r="AHN159" s="54"/>
      <c r="AHO159" s="58"/>
      <c r="AHP159" s="58"/>
      <c r="AHQ159" s="58"/>
      <c r="AHR159" s="58"/>
      <c r="AHS159" s="59"/>
      <c r="AHT159" s="60"/>
      <c r="AHU159" s="54"/>
      <c r="AHV159" s="54"/>
      <c r="AHW159" s="36"/>
      <c r="AHX159" s="55"/>
      <c r="AHY159" s="54"/>
      <c r="AHZ159" s="56"/>
      <c r="AIA159" s="57"/>
      <c r="AIB159" s="54"/>
      <c r="AIC159" s="54"/>
      <c r="AID159" s="54"/>
      <c r="AIE159" s="58"/>
      <c r="AIF159" s="58"/>
      <c r="AIG159" s="58"/>
      <c r="AIH159" s="58"/>
      <c r="AII159" s="59"/>
      <c r="AIJ159" s="60"/>
      <c r="AIK159" s="54"/>
      <c r="AIL159" s="54"/>
      <c r="AIM159" s="36"/>
      <c r="AIN159" s="55"/>
      <c r="AIO159" s="54"/>
      <c r="AIP159" s="56"/>
      <c r="AIQ159" s="57"/>
      <c r="AIR159" s="54"/>
      <c r="AIS159" s="54"/>
      <c r="AIT159" s="54"/>
      <c r="AIU159" s="58"/>
      <c r="AIV159" s="58"/>
      <c r="AIW159" s="58"/>
      <c r="AIX159" s="58"/>
      <c r="AIY159" s="59"/>
      <c r="AIZ159" s="60"/>
      <c r="AJA159" s="54"/>
      <c r="AJB159" s="54"/>
      <c r="AJC159" s="36"/>
      <c r="AJD159" s="55"/>
      <c r="AJE159" s="54"/>
      <c r="AJF159" s="56"/>
      <c r="AJG159" s="57"/>
      <c r="AJH159" s="54"/>
      <c r="AJI159" s="54"/>
      <c r="AJJ159" s="54"/>
      <c r="AJK159" s="58"/>
      <c r="AJL159" s="58"/>
      <c r="AJM159" s="58"/>
      <c r="AJN159" s="58"/>
      <c r="AJO159" s="59"/>
      <c r="AJP159" s="60"/>
      <c r="AJQ159" s="54"/>
      <c r="AJR159" s="54"/>
      <c r="AJS159" s="36"/>
      <c r="AJT159" s="55"/>
      <c r="AJU159" s="54"/>
      <c r="AJV159" s="56"/>
      <c r="AJW159" s="57"/>
      <c r="AJX159" s="54"/>
      <c r="AJY159" s="54"/>
      <c r="AJZ159" s="54"/>
      <c r="AKA159" s="58"/>
      <c r="AKB159" s="58"/>
      <c r="AKC159" s="58"/>
      <c r="AKD159" s="58"/>
      <c r="AKE159" s="59"/>
      <c r="AKF159" s="60"/>
      <c r="AKG159" s="54"/>
      <c r="AKH159" s="54"/>
      <c r="AKI159" s="36"/>
      <c r="AKJ159" s="55"/>
      <c r="AKK159" s="54"/>
      <c r="AKL159" s="56"/>
      <c r="AKM159" s="57"/>
      <c r="AKN159" s="54"/>
      <c r="AKO159" s="54"/>
      <c r="AKP159" s="54"/>
      <c r="AKQ159" s="58"/>
      <c r="AKR159" s="58"/>
      <c r="AKS159" s="58"/>
      <c r="AKT159" s="58"/>
      <c r="AKU159" s="59"/>
      <c r="AKV159" s="60"/>
      <c r="AKW159" s="54"/>
      <c r="AKX159" s="54"/>
      <c r="AKY159" s="36"/>
      <c r="AKZ159" s="55"/>
      <c r="ALA159" s="54"/>
      <c r="ALB159" s="56"/>
      <c r="ALC159" s="57"/>
      <c r="ALD159" s="54"/>
      <c r="ALE159" s="54"/>
      <c r="ALF159" s="54"/>
      <c r="ALG159" s="58"/>
      <c r="ALH159" s="58"/>
      <c r="ALI159" s="58"/>
      <c r="ALJ159" s="58"/>
      <c r="ALK159" s="59"/>
      <c r="ALL159" s="60"/>
      <c r="ALM159" s="54"/>
      <c r="ALN159" s="54"/>
      <c r="ALO159" s="36"/>
      <c r="ALP159" s="55"/>
      <c r="ALQ159" s="54"/>
      <c r="ALR159" s="56"/>
      <c r="ALS159" s="57"/>
      <c r="ALT159" s="54"/>
      <c r="ALU159" s="54"/>
      <c r="ALV159" s="54"/>
      <c r="ALW159" s="58"/>
      <c r="ALX159" s="58"/>
      <c r="ALY159" s="58"/>
      <c r="ALZ159" s="58"/>
      <c r="AMA159" s="59"/>
      <c r="AMB159" s="60"/>
      <c r="AMC159" s="54"/>
      <c r="AMD159" s="54"/>
      <c r="AME159" s="36"/>
      <c r="AMF159" s="55"/>
      <c r="AMG159" s="54"/>
      <c r="AMH159" s="56"/>
      <c r="AMI159" s="57"/>
      <c r="AMJ159" s="54"/>
      <c r="AMK159" s="54"/>
      <c r="AML159" s="54"/>
      <c r="AMM159" s="58"/>
      <c r="AMN159" s="58"/>
      <c r="AMO159" s="58"/>
      <c r="AMP159" s="58"/>
      <c r="AMQ159" s="59"/>
      <c r="AMR159" s="60"/>
      <c r="AMS159" s="54"/>
      <c r="AMT159" s="54"/>
      <c r="AMU159" s="36"/>
      <c r="AMV159" s="55"/>
      <c r="AMW159" s="54"/>
      <c r="AMX159" s="56"/>
      <c r="AMY159" s="57"/>
      <c r="AMZ159" s="54"/>
      <c r="ANA159" s="54"/>
      <c r="ANB159" s="54"/>
      <c r="ANC159" s="58"/>
      <c r="AND159" s="58"/>
      <c r="ANE159" s="58"/>
      <c r="ANF159" s="58"/>
      <c r="ANG159" s="59"/>
      <c r="ANH159" s="60"/>
      <c r="ANI159" s="54"/>
      <c r="ANJ159" s="54"/>
      <c r="ANK159" s="36"/>
      <c r="ANL159" s="55"/>
      <c r="ANM159" s="54"/>
      <c r="ANN159" s="56"/>
      <c r="ANO159" s="57"/>
      <c r="ANP159" s="54"/>
      <c r="ANQ159" s="54"/>
      <c r="ANR159" s="54"/>
      <c r="ANS159" s="58"/>
      <c r="ANT159" s="58"/>
      <c r="ANU159" s="58"/>
      <c r="ANV159" s="58"/>
      <c r="ANW159" s="59"/>
      <c r="ANX159" s="60"/>
      <c r="ANY159" s="54"/>
      <c r="ANZ159" s="54"/>
      <c r="AOA159" s="36"/>
      <c r="AOB159" s="55"/>
      <c r="AOC159" s="54"/>
      <c r="AOD159" s="56"/>
      <c r="AOE159" s="57"/>
      <c r="AOF159" s="54"/>
      <c r="AOG159" s="54"/>
      <c r="AOH159" s="54"/>
      <c r="AOI159" s="58"/>
      <c r="AOJ159" s="58"/>
      <c r="AOK159" s="58"/>
      <c r="AOL159" s="58"/>
      <c r="AOM159" s="59"/>
      <c r="AON159" s="60"/>
      <c r="AOO159" s="54"/>
      <c r="AOP159" s="54"/>
      <c r="AOQ159" s="36"/>
      <c r="AOR159" s="55"/>
      <c r="AOS159" s="54"/>
      <c r="AOT159" s="56"/>
      <c r="AOU159" s="57"/>
      <c r="AOV159" s="54"/>
      <c r="AOW159" s="54"/>
      <c r="AOX159" s="54"/>
      <c r="AOY159" s="58"/>
      <c r="AOZ159" s="58"/>
      <c r="APA159" s="58"/>
      <c r="APB159" s="58"/>
      <c r="APC159" s="59"/>
      <c r="APD159" s="60"/>
      <c r="APE159" s="54"/>
      <c r="APF159" s="54"/>
      <c r="APG159" s="36"/>
      <c r="APH159" s="55"/>
      <c r="API159" s="54"/>
      <c r="APJ159" s="56"/>
      <c r="APK159" s="57"/>
      <c r="APL159" s="54"/>
      <c r="APM159" s="54"/>
      <c r="APN159" s="54"/>
      <c r="APO159" s="58"/>
      <c r="APP159" s="58"/>
      <c r="APQ159" s="58"/>
      <c r="APR159" s="58"/>
      <c r="APS159" s="59"/>
      <c r="APT159" s="60"/>
      <c r="APU159" s="54"/>
      <c r="APV159" s="54"/>
      <c r="APW159" s="36"/>
      <c r="APX159" s="55"/>
      <c r="APY159" s="54"/>
      <c r="APZ159" s="56"/>
      <c r="AQA159" s="57"/>
      <c r="AQB159" s="54"/>
      <c r="AQC159" s="54"/>
      <c r="AQD159" s="54"/>
      <c r="AQE159" s="58"/>
      <c r="AQF159" s="58"/>
      <c r="AQG159" s="58"/>
      <c r="AQH159" s="58"/>
      <c r="AQI159" s="59"/>
      <c r="AQJ159" s="60"/>
      <c r="AQK159" s="54"/>
      <c r="AQL159" s="54"/>
      <c r="AQM159" s="36"/>
      <c r="AQN159" s="55"/>
      <c r="AQO159" s="54"/>
      <c r="AQP159" s="56"/>
      <c r="AQQ159" s="57"/>
      <c r="AQR159" s="54"/>
      <c r="AQS159" s="54"/>
      <c r="AQT159" s="54"/>
      <c r="AQU159" s="58"/>
      <c r="AQV159" s="58"/>
      <c r="AQW159" s="58"/>
      <c r="AQX159" s="58"/>
      <c r="AQY159" s="59"/>
      <c r="AQZ159" s="60"/>
      <c r="ARA159" s="54"/>
      <c r="ARB159" s="54"/>
      <c r="ARC159" s="36"/>
      <c r="ARD159" s="55"/>
      <c r="ARE159" s="54"/>
      <c r="ARF159" s="56"/>
      <c r="ARG159" s="57"/>
      <c r="ARH159" s="54"/>
      <c r="ARI159" s="54"/>
      <c r="ARJ159" s="54"/>
      <c r="ARK159" s="58"/>
      <c r="ARL159" s="58"/>
      <c r="ARM159" s="58"/>
      <c r="ARN159" s="58"/>
      <c r="ARO159" s="59"/>
      <c r="ARP159" s="60"/>
      <c r="ARQ159" s="54"/>
      <c r="ARR159" s="54"/>
      <c r="ARS159" s="36"/>
      <c r="ART159" s="55"/>
      <c r="ARU159" s="54"/>
      <c r="ARV159" s="56"/>
      <c r="ARW159" s="57"/>
      <c r="ARX159" s="54"/>
      <c r="ARY159" s="54"/>
      <c r="ARZ159" s="54"/>
      <c r="ASA159" s="58"/>
      <c r="ASB159" s="58"/>
      <c r="ASC159" s="58"/>
      <c r="ASD159" s="58"/>
      <c r="ASE159" s="59"/>
      <c r="ASF159" s="60"/>
      <c r="ASG159" s="54"/>
      <c r="ASH159" s="54"/>
      <c r="ASI159" s="36"/>
      <c r="ASJ159" s="55"/>
      <c r="ASK159" s="54"/>
      <c r="ASL159" s="56"/>
      <c r="ASM159" s="57"/>
      <c r="ASN159" s="54"/>
      <c r="ASO159" s="54"/>
      <c r="ASP159" s="54"/>
      <c r="ASQ159" s="58"/>
      <c r="ASR159" s="58"/>
      <c r="ASS159" s="58"/>
      <c r="AST159" s="58"/>
      <c r="ASU159" s="59"/>
      <c r="ASV159" s="60"/>
      <c r="ASW159" s="54"/>
      <c r="ASX159" s="54"/>
      <c r="ASY159" s="36"/>
      <c r="ASZ159" s="55"/>
      <c r="ATA159" s="54"/>
      <c r="ATB159" s="56"/>
      <c r="ATC159" s="57"/>
      <c r="ATD159" s="54"/>
      <c r="ATE159" s="54"/>
      <c r="ATF159" s="54"/>
      <c r="ATG159" s="58"/>
      <c r="ATH159" s="58"/>
      <c r="ATI159" s="58"/>
      <c r="ATJ159" s="58"/>
      <c r="ATK159" s="59"/>
      <c r="ATL159" s="60"/>
      <c r="ATM159" s="54"/>
      <c r="ATN159" s="54"/>
      <c r="ATO159" s="36"/>
      <c r="ATP159" s="55"/>
      <c r="ATQ159" s="54"/>
      <c r="ATR159" s="56"/>
      <c r="ATS159" s="57"/>
      <c r="ATT159" s="54"/>
      <c r="ATU159" s="54"/>
      <c r="ATV159" s="54"/>
      <c r="ATW159" s="58"/>
      <c r="ATX159" s="58"/>
      <c r="ATY159" s="58"/>
      <c r="ATZ159" s="58"/>
      <c r="AUA159" s="59"/>
      <c r="AUB159" s="60"/>
      <c r="AUC159" s="54"/>
      <c r="AUD159" s="54"/>
      <c r="AUE159" s="36"/>
      <c r="AUF159" s="55"/>
      <c r="AUG159" s="54"/>
      <c r="AUH159" s="56"/>
      <c r="AUI159" s="57"/>
      <c r="AUJ159" s="54"/>
      <c r="AUK159" s="54"/>
      <c r="AUL159" s="54"/>
      <c r="AUM159" s="58"/>
      <c r="AUN159" s="58"/>
      <c r="AUO159" s="58"/>
      <c r="AUP159" s="58"/>
      <c r="AUQ159" s="59"/>
      <c r="AUR159" s="60"/>
      <c r="AUS159" s="54"/>
      <c r="AUT159" s="54"/>
      <c r="AUU159" s="36"/>
      <c r="AUV159" s="55"/>
      <c r="AUW159" s="54"/>
      <c r="AUX159" s="56"/>
      <c r="AUY159" s="57"/>
      <c r="AUZ159" s="54"/>
      <c r="AVA159" s="54"/>
      <c r="AVB159" s="54"/>
      <c r="AVC159" s="58"/>
      <c r="AVD159" s="58"/>
      <c r="AVE159" s="58"/>
      <c r="AVF159" s="58"/>
      <c r="AVG159" s="59"/>
      <c r="AVH159" s="60"/>
      <c r="AVI159" s="54"/>
      <c r="AVJ159" s="54"/>
      <c r="AVK159" s="36"/>
      <c r="AVL159" s="55"/>
      <c r="AVM159" s="54"/>
      <c r="AVN159" s="56"/>
      <c r="AVO159" s="57"/>
      <c r="AVP159" s="54"/>
      <c r="AVQ159" s="54"/>
      <c r="AVR159" s="54"/>
      <c r="AVS159" s="58"/>
      <c r="AVT159" s="58"/>
      <c r="AVU159" s="58"/>
      <c r="AVV159" s="58"/>
      <c r="AVW159" s="59"/>
      <c r="AVX159" s="60"/>
      <c r="AVY159" s="54"/>
      <c r="AVZ159" s="54"/>
      <c r="AWA159" s="36"/>
      <c r="AWB159" s="55"/>
      <c r="AWC159" s="54"/>
      <c r="AWD159" s="56"/>
      <c r="AWE159" s="57"/>
      <c r="AWF159" s="54"/>
      <c r="AWG159" s="54"/>
      <c r="AWH159" s="54"/>
      <c r="AWI159" s="58"/>
      <c r="AWJ159" s="58"/>
      <c r="AWK159" s="58"/>
      <c r="AWL159" s="58"/>
      <c r="AWM159" s="59"/>
      <c r="AWN159" s="60"/>
      <c r="AWO159" s="54"/>
      <c r="AWP159" s="54"/>
      <c r="AWQ159" s="36"/>
      <c r="AWR159" s="55"/>
      <c r="AWS159" s="54"/>
      <c r="AWT159" s="56"/>
      <c r="AWU159" s="57"/>
      <c r="AWV159" s="54"/>
      <c r="AWW159" s="54"/>
      <c r="AWX159" s="54"/>
      <c r="AWY159" s="58"/>
      <c r="AWZ159" s="58"/>
      <c r="AXA159" s="58"/>
      <c r="AXB159" s="58"/>
      <c r="AXC159" s="59"/>
      <c r="AXD159" s="60"/>
      <c r="AXE159" s="54"/>
      <c r="AXF159" s="54"/>
      <c r="AXG159" s="36"/>
      <c r="AXH159" s="55"/>
      <c r="AXI159" s="54"/>
      <c r="AXJ159" s="56"/>
      <c r="AXK159" s="57"/>
      <c r="AXL159" s="54"/>
      <c r="AXM159" s="54"/>
      <c r="AXN159" s="54"/>
      <c r="AXO159" s="58"/>
      <c r="AXP159" s="58"/>
      <c r="AXQ159" s="58"/>
      <c r="AXR159" s="58"/>
      <c r="AXS159" s="59"/>
      <c r="AXT159" s="60"/>
      <c r="AXU159" s="54"/>
      <c r="AXV159" s="54"/>
      <c r="AXW159" s="36"/>
      <c r="AXX159" s="55"/>
      <c r="AXY159" s="54"/>
      <c r="AXZ159" s="56"/>
      <c r="AYA159" s="57"/>
      <c r="AYB159" s="54"/>
      <c r="AYC159" s="54"/>
      <c r="AYD159" s="54"/>
      <c r="AYE159" s="58"/>
      <c r="AYF159" s="58"/>
      <c r="AYG159" s="58"/>
      <c r="AYH159" s="58"/>
      <c r="AYI159" s="59"/>
      <c r="AYJ159" s="60"/>
      <c r="AYK159" s="54"/>
      <c r="AYL159" s="54"/>
      <c r="AYM159" s="36"/>
      <c r="AYN159" s="55"/>
      <c r="AYO159" s="54"/>
      <c r="AYP159" s="56"/>
      <c r="AYQ159" s="57"/>
      <c r="AYR159" s="54"/>
      <c r="AYS159" s="54"/>
      <c r="AYT159" s="54"/>
      <c r="AYU159" s="58"/>
      <c r="AYV159" s="58"/>
      <c r="AYW159" s="58"/>
      <c r="AYX159" s="58"/>
      <c r="AYY159" s="59"/>
      <c r="AYZ159" s="60"/>
      <c r="AZA159" s="54"/>
      <c r="AZB159" s="54"/>
      <c r="AZC159" s="36"/>
      <c r="AZD159" s="55"/>
      <c r="AZE159" s="54"/>
      <c r="AZF159" s="56"/>
      <c r="AZG159" s="57"/>
      <c r="AZH159" s="54"/>
      <c r="AZI159" s="54"/>
      <c r="AZJ159" s="54"/>
      <c r="AZK159" s="58"/>
      <c r="AZL159" s="58"/>
      <c r="AZM159" s="58"/>
      <c r="AZN159" s="58"/>
      <c r="AZO159" s="59"/>
      <c r="AZP159" s="60"/>
      <c r="AZQ159" s="54"/>
      <c r="AZR159" s="54"/>
      <c r="AZS159" s="36"/>
      <c r="AZT159" s="55"/>
      <c r="AZU159" s="54"/>
      <c r="AZV159" s="56"/>
      <c r="AZW159" s="57"/>
      <c r="AZX159" s="54"/>
      <c r="AZY159" s="54"/>
      <c r="AZZ159" s="54"/>
      <c r="BAA159" s="58"/>
      <c r="BAB159" s="58"/>
      <c r="BAC159" s="58"/>
      <c r="BAD159" s="58"/>
      <c r="BAE159" s="59"/>
      <c r="BAF159" s="60"/>
      <c r="BAG159" s="54"/>
      <c r="BAH159" s="54"/>
      <c r="BAI159" s="36"/>
      <c r="BAJ159" s="55"/>
      <c r="BAK159" s="54"/>
      <c r="BAL159" s="56"/>
      <c r="BAM159" s="57"/>
      <c r="BAN159" s="54"/>
      <c r="BAO159" s="54"/>
      <c r="BAP159" s="54"/>
      <c r="BAQ159" s="58"/>
      <c r="BAR159" s="58"/>
      <c r="BAS159" s="58"/>
      <c r="BAT159" s="58"/>
      <c r="BAU159" s="59"/>
      <c r="BAV159" s="60"/>
      <c r="BAW159" s="54"/>
      <c r="BAX159" s="54"/>
      <c r="BAY159" s="36"/>
      <c r="BAZ159" s="55"/>
      <c r="BBA159" s="54"/>
      <c r="BBB159" s="56"/>
      <c r="BBC159" s="57"/>
      <c r="BBD159" s="54"/>
      <c r="BBE159" s="54"/>
      <c r="BBF159" s="54"/>
      <c r="BBG159" s="58"/>
      <c r="BBH159" s="58"/>
      <c r="BBI159" s="58"/>
      <c r="BBJ159" s="58"/>
      <c r="BBK159" s="59"/>
      <c r="BBL159" s="60"/>
      <c r="BBM159" s="54"/>
      <c r="BBN159" s="54"/>
      <c r="BBO159" s="36"/>
      <c r="BBP159" s="55"/>
      <c r="BBQ159" s="54"/>
      <c r="BBR159" s="56"/>
      <c r="BBS159" s="57"/>
      <c r="BBT159" s="54"/>
      <c r="BBU159" s="54"/>
      <c r="BBV159" s="54"/>
      <c r="BBW159" s="58"/>
      <c r="BBX159" s="58"/>
      <c r="BBY159" s="58"/>
      <c r="BBZ159" s="58"/>
      <c r="BCA159" s="59"/>
      <c r="BCB159" s="60"/>
      <c r="BCC159" s="54"/>
      <c r="BCD159" s="54"/>
      <c r="BCE159" s="36"/>
      <c r="BCF159" s="55"/>
      <c r="BCG159" s="54"/>
      <c r="BCH159" s="56"/>
      <c r="BCI159" s="57"/>
      <c r="BCJ159" s="54"/>
      <c r="BCK159" s="54"/>
      <c r="BCL159" s="54"/>
      <c r="BCM159" s="58"/>
      <c r="BCN159" s="58"/>
      <c r="BCO159" s="58"/>
      <c r="BCP159" s="58"/>
      <c r="BCQ159" s="59"/>
      <c r="BCR159" s="60"/>
      <c r="BCS159" s="54"/>
      <c r="BCT159" s="54"/>
      <c r="BCU159" s="36"/>
      <c r="BCV159" s="55"/>
      <c r="BCW159" s="54"/>
      <c r="BCX159" s="56"/>
      <c r="BCY159" s="57"/>
      <c r="BCZ159" s="54"/>
      <c r="BDA159" s="54"/>
      <c r="BDB159" s="54"/>
      <c r="BDC159" s="58"/>
      <c r="BDD159" s="58"/>
      <c r="BDE159" s="58"/>
      <c r="BDF159" s="58"/>
      <c r="BDG159" s="59"/>
      <c r="BDH159" s="60"/>
      <c r="BDI159" s="54"/>
      <c r="BDJ159" s="54"/>
      <c r="BDK159" s="36"/>
      <c r="BDL159" s="55"/>
      <c r="BDM159" s="54"/>
      <c r="BDN159" s="56"/>
      <c r="BDO159" s="57"/>
      <c r="BDP159" s="54"/>
      <c r="BDQ159" s="54"/>
      <c r="BDR159" s="54"/>
      <c r="BDS159" s="58"/>
      <c r="BDT159" s="58"/>
      <c r="BDU159" s="58"/>
      <c r="BDV159" s="58"/>
      <c r="BDW159" s="59"/>
      <c r="BDX159" s="60"/>
      <c r="BDY159" s="54"/>
      <c r="BDZ159" s="54"/>
      <c r="BEA159" s="36"/>
      <c r="BEB159" s="55"/>
      <c r="BEC159" s="54"/>
      <c r="BED159" s="56"/>
      <c r="BEE159" s="57"/>
      <c r="BEF159" s="54"/>
      <c r="BEG159" s="54"/>
      <c r="BEH159" s="54"/>
      <c r="BEI159" s="58"/>
      <c r="BEJ159" s="58"/>
      <c r="BEK159" s="58"/>
      <c r="BEL159" s="58"/>
      <c r="BEM159" s="59"/>
      <c r="BEN159" s="60"/>
      <c r="BEO159" s="54"/>
      <c r="BEP159" s="54"/>
      <c r="BEQ159" s="36"/>
      <c r="BER159" s="55"/>
      <c r="BES159" s="54"/>
      <c r="BET159" s="56"/>
      <c r="BEU159" s="57"/>
      <c r="BEV159" s="54"/>
      <c r="BEW159" s="54"/>
      <c r="BEX159" s="54"/>
      <c r="BEY159" s="58"/>
      <c r="BEZ159" s="58"/>
      <c r="BFA159" s="58"/>
      <c r="BFB159" s="58"/>
      <c r="BFC159" s="59"/>
      <c r="BFD159" s="60"/>
      <c r="BFE159" s="54"/>
      <c r="BFF159" s="54"/>
      <c r="BFG159" s="36"/>
      <c r="BFH159" s="55"/>
      <c r="BFI159" s="54"/>
      <c r="BFJ159" s="56"/>
      <c r="BFK159" s="57"/>
      <c r="BFL159" s="54"/>
      <c r="BFM159" s="54"/>
      <c r="BFN159" s="54"/>
      <c r="BFO159" s="58"/>
      <c r="BFP159" s="58"/>
      <c r="BFQ159" s="58"/>
      <c r="BFR159" s="58"/>
      <c r="BFS159" s="59"/>
      <c r="BFT159" s="60"/>
      <c r="BFU159" s="54"/>
      <c r="BFV159" s="54"/>
      <c r="BFW159" s="36"/>
      <c r="BFX159" s="55"/>
      <c r="BFY159" s="54"/>
      <c r="BFZ159" s="56"/>
      <c r="BGA159" s="57"/>
      <c r="BGB159" s="54"/>
      <c r="BGC159" s="54"/>
      <c r="BGD159" s="54"/>
      <c r="BGE159" s="58"/>
      <c r="BGF159" s="58"/>
      <c r="BGG159" s="58"/>
      <c r="BGH159" s="58"/>
      <c r="BGI159" s="59"/>
      <c r="BGJ159" s="60"/>
      <c r="BGK159" s="54"/>
      <c r="BGL159" s="54"/>
      <c r="BGM159" s="36"/>
      <c r="BGN159" s="55"/>
      <c r="BGO159" s="54"/>
      <c r="BGP159" s="56"/>
      <c r="BGQ159" s="57"/>
      <c r="BGR159" s="54"/>
      <c r="BGS159" s="54"/>
      <c r="BGT159" s="54"/>
      <c r="BGU159" s="58"/>
      <c r="BGV159" s="58"/>
      <c r="BGW159" s="58"/>
      <c r="BGX159" s="58"/>
      <c r="BGY159" s="59"/>
      <c r="BGZ159" s="60"/>
      <c r="BHA159" s="54"/>
      <c r="BHB159" s="54"/>
      <c r="BHC159" s="36"/>
      <c r="BHD159" s="55"/>
      <c r="BHE159" s="54"/>
      <c r="BHF159" s="56"/>
      <c r="BHG159" s="57"/>
      <c r="BHH159" s="54"/>
      <c r="BHI159" s="54"/>
      <c r="BHJ159" s="54"/>
      <c r="BHK159" s="58"/>
      <c r="BHL159" s="58"/>
      <c r="BHM159" s="58"/>
      <c r="BHN159" s="58"/>
      <c r="BHO159" s="59"/>
      <c r="BHP159" s="60"/>
      <c r="BHQ159" s="54"/>
      <c r="BHR159" s="54"/>
      <c r="BHS159" s="36"/>
      <c r="BHT159" s="55"/>
      <c r="BHU159" s="54"/>
      <c r="BHV159" s="56"/>
      <c r="BHW159" s="57"/>
      <c r="BHX159" s="54"/>
      <c r="BHY159" s="54"/>
      <c r="BHZ159" s="54"/>
      <c r="BIA159" s="58"/>
      <c r="BIB159" s="58"/>
      <c r="BIC159" s="58"/>
      <c r="BID159" s="58"/>
      <c r="BIE159" s="59"/>
      <c r="BIF159" s="60"/>
      <c r="BIG159" s="54"/>
      <c r="BIH159" s="54"/>
      <c r="BII159" s="36"/>
      <c r="BIJ159" s="55"/>
      <c r="BIK159" s="54"/>
      <c r="BIL159" s="56"/>
      <c r="BIM159" s="57"/>
      <c r="BIN159" s="54"/>
      <c r="BIO159" s="54"/>
      <c r="BIP159" s="54"/>
      <c r="BIQ159" s="58"/>
      <c r="BIR159" s="58"/>
      <c r="BIS159" s="58"/>
      <c r="BIT159" s="58"/>
      <c r="BIU159" s="59"/>
      <c r="BIV159" s="60"/>
      <c r="BIW159" s="54"/>
      <c r="BIX159" s="54"/>
      <c r="BIY159" s="36"/>
      <c r="BIZ159" s="55"/>
      <c r="BJA159" s="54"/>
      <c r="BJB159" s="56"/>
      <c r="BJC159" s="57"/>
      <c r="BJD159" s="54"/>
      <c r="BJE159" s="54"/>
      <c r="BJF159" s="54"/>
      <c r="BJG159" s="58"/>
      <c r="BJH159" s="58"/>
      <c r="BJI159" s="58"/>
      <c r="BJJ159" s="58"/>
      <c r="BJK159" s="59"/>
      <c r="BJL159" s="60"/>
      <c r="BJM159" s="54"/>
      <c r="BJN159" s="54"/>
      <c r="BJO159" s="36"/>
      <c r="BJP159" s="55"/>
      <c r="BJQ159" s="54"/>
      <c r="BJR159" s="56"/>
      <c r="BJS159" s="57"/>
      <c r="BJT159" s="54"/>
      <c r="BJU159" s="54"/>
      <c r="BJV159" s="54"/>
      <c r="BJW159" s="58"/>
      <c r="BJX159" s="58"/>
      <c r="BJY159" s="58"/>
      <c r="BJZ159" s="58"/>
      <c r="BKA159" s="59"/>
      <c r="BKB159" s="60"/>
      <c r="BKC159" s="54"/>
      <c r="BKD159" s="54"/>
      <c r="BKE159" s="36"/>
      <c r="BKF159" s="55"/>
      <c r="BKG159" s="54"/>
      <c r="BKH159" s="56"/>
      <c r="BKI159" s="57"/>
      <c r="BKJ159" s="54"/>
      <c r="BKK159" s="54"/>
      <c r="BKL159" s="54"/>
      <c r="BKM159" s="58"/>
      <c r="BKN159" s="58"/>
      <c r="BKO159" s="58"/>
      <c r="BKP159" s="58"/>
      <c r="BKQ159" s="59"/>
      <c r="BKR159" s="60"/>
      <c r="BKS159" s="54"/>
      <c r="BKT159" s="54"/>
      <c r="BKU159" s="36"/>
      <c r="BKV159" s="55"/>
      <c r="BKW159" s="54"/>
      <c r="BKX159" s="56"/>
      <c r="BKY159" s="57"/>
      <c r="BKZ159" s="54"/>
      <c r="BLA159" s="54"/>
      <c r="BLB159" s="54"/>
      <c r="BLC159" s="58"/>
      <c r="BLD159" s="58"/>
      <c r="BLE159" s="58"/>
      <c r="BLF159" s="58"/>
      <c r="BLG159" s="59"/>
      <c r="BLH159" s="60"/>
      <c r="BLI159" s="54"/>
      <c r="BLJ159" s="54"/>
      <c r="BLK159" s="36"/>
      <c r="BLL159" s="55"/>
      <c r="BLM159" s="54"/>
      <c r="BLN159" s="56"/>
      <c r="BLO159" s="57"/>
      <c r="BLP159" s="54"/>
      <c r="BLQ159" s="54"/>
      <c r="BLR159" s="54"/>
      <c r="BLS159" s="58"/>
      <c r="BLT159" s="58"/>
      <c r="BLU159" s="58"/>
      <c r="BLV159" s="58"/>
      <c r="BLW159" s="59"/>
      <c r="BLX159" s="60"/>
      <c r="BLY159" s="54"/>
      <c r="BLZ159" s="54"/>
      <c r="BMA159" s="36"/>
      <c r="BMB159" s="55"/>
      <c r="BMC159" s="54"/>
      <c r="BMD159" s="56"/>
      <c r="BME159" s="57"/>
      <c r="BMF159" s="54"/>
      <c r="BMG159" s="54"/>
      <c r="BMH159" s="54"/>
      <c r="BMI159" s="58"/>
      <c r="BMJ159" s="58"/>
      <c r="BMK159" s="58"/>
      <c r="BML159" s="58"/>
      <c r="BMM159" s="59"/>
      <c r="BMN159" s="60"/>
      <c r="BMO159" s="54"/>
      <c r="BMP159" s="54"/>
      <c r="BMQ159" s="36"/>
      <c r="BMR159" s="55"/>
      <c r="BMS159" s="54"/>
      <c r="BMT159" s="56"/>
      <c r="BMU159" s="57"/>
      <c r="BMV159" s="54"/>
      <c r="BMW159" s="54"/>
      <c r="BMX159" s="54"/>
      <c r="BMY159" s="58"/>
      <c r="BMZ159" s="58"/>
      <c r="BNA159" s="58"/>
      <c r="BNB159" s="58"/>
      <c r="BNC159" s="59"/>
      <c r="BND159" s="60"/>
      <c r="BNE159" s="54"/>
      <c r="BNF159" s="54"/>
      <c r="BNG159" s="36"/>
      <c r="BNH159" s="55"/>
      <c r="BNI159" s="54"/>
      <c r="BNJ159" s="56"/>
      <c r="BNK159" s="57"/>
      <c r="BNL159" s="54"/>
      <c r="BNM159" s="54"/>
      <c r="BNN159" s="54"/>
      <c r="BNO159" s="58"/>
      <c r="BNP159" s="58"/>
      <c r="BNQ159" s="58"/>
      <c r="BNR159" s="58"/>
      <c r="BNS159" s="59"/>
      <c r="BNT159" s="60"/>
      <c r="BNU159" s="54"/>
      <c r="BNV159" s="54"/>
      <c r="BNW159" s="36"/>
      <c r="BNX159" s="55"/>
      <c r="BNY159" s="54"/>
      <c r="BNZ159" s="56"/>
      <c r="BOA159" s="57"/>
      <c r="BOB159" s="54"/>
      <c r="BOC159" s="54"/>
      <c r="BOD159" s="54"/>
      <c r="BOE159" s="58"/>
      <c r="BOF159" s="58"/>
      <c r="BOG159" s="58"/>
      <c r="BOH159" s="58"/>
      <c r="BOI159" s="59"/>
      <c r="BOJ159" s="60"/>
      <c r="BOK159" s="54"/>
      <c r="BOL159" s="54"/>
      <c r="BOM159" s="36"/>
      <c r="BON159" s="55"/>
      <c r="BOO159" s="54"/>
      <c r="BOP159" s="56"/>
      <c r="BOQ159" s="57"/>
      <c r="BOR159" s="54"/>
      <c r="BOS159" s="54"/>
      <c r="BOT159" s="54"/>
      <c r="BOU159" s="58"/>
      <c r="BOV159" s="58"/>
      <c r="BOW159" s="58"/>
      <c r="BOX159" s="58"/>
      <c r="BOY159" s="59"/>
      <c r="BOZ159" s="60"/>
      <c r="BPA159" s="54"/>
      <c r="BPB159" s="54"/>
      <c r="BPC159" s="36"/>
      <c r="BPD159" s="55"/>
      <c r="BPE159" s="54"/>
      <c r="BPF159" s="56"/>
      <c r="BPG159" s="57"/>
      <c r="BPH159" s="54"/>
      <c r="BPI159" s="54"/>
      <c r="BPJ159" s="54"/>
      <c r="BPK159" s="58"/>
      <c r="BPL159" s="58"/>
      <c r="BPM159" s="58"/>
      <c r="BPN159" s="58"/>
      <c r="BPO159" s="59"/>
      <c r="BPP159" s="60"/>
      <c r="BPQ159" s="54"/>
      <c r="BPR159" s="54"/>
      <c r="BPS159" s="36"/>
      <c r="BPT159" s="55"/>
      <c r="BPU159" s="54"/>
      <c r="BPV159" s="56"/>
      <c r="BPW159" s="57"/>
      <c r="BPX159" s="54"/>
      <c r="BPY159" s="54"/>
      <c r="BPZ159" s="54"/>
      <c r="BQA159" s="58"/>
      <c r="BQB159" s="58"/>
      <c r="BQC159" s="58"/>
      <c r="BQD159" s="58"/>
      <c r="BQE159" s="59"/>
      <c r="BQF159" s="60"/>
      <c r="BQG159" s="54"/>
      <c r="BQH159" s="54"/>
      <c r="BQI159" s="36"/>
      <c r="BQJ159" s="55"/>
      <c r="BQK159" s="54"/>
      <c r="BQL159" s="56"/>
      <c r="BQM159" s="57"/>
      <c r="BQN159" s="54"/>
      <c r="BQO159" s="54"/>
      <c r="BQP159" s="54"/>
      <c r="BQQ159" s="58"/>
      <c r="BQR159" s="58"/>
      <c r="BQS159" s="58"/>
      <c r="BQT159" s="58"/>
      <c r="BQU159" s="59"/>
      <c r="BQV159" s="60"/>
      <c r="BQW159" s="54"/>
      <c r="BQX159" s="54"/>
      <c r="BQY159" s="36"/>
      <c r="BQZ159" s="55"/>
      <c r="BRA159" s="54"/>
      <c r="BRB159" s="56"/>
      <c r="BRC159" s="57"/>
      <c r="BRD159" s="54"/>
      <c r="BRE159" s="54"/>
      <c r="BRF159" s="54"/>
      <c r="BRG159" s="58"/>
      <c r="BRH159" s="58"/>
      <c r="BRI159" s="58"/>
      <c r="BRJ159" s="58"/>
      <c r="BRK159" s="59"/>
      <c r="BRL159" s="60"/>
      <c r="BRM159" s="54"/>
      <c r="BRN159" s="54"/>
      <c r="BRO159" s="36"/>
      <c r="BRP159" s="55"/>
      <c r="BRQ159" s="54"/>
      <c r="BRR159" s="56"/>
      <c r="BRS159" s="57"/>
      <c r="BRT159" s="54"/>
      <c r="BRU159" s="54"/>
      <c r="BRV159" s="54"/>
      <c r="BRW159" s="58"/>
      <c r="BRX159" s="58"/>
      <c r="BRY159" s="58"/>
      <c r="BRZ159" s="58"/>
      <c r="BSA159" s="59"/>
      <c r="BSB159" s="60"/>
      <c r="BSC159" s="54"/>
      <c r="BSD159" s="54"/>
      <c r="BSE159" s="36"/>
      <c r="BSF159" s="55"/>
      <c r="BSG159" s="54"/>
      <c r="BSH159" s="56"/>
      <c r="BSI159" s="57"/>
      <c r="BSJ159" s="54"/>
      <c r="BSK159" s="54"/>
      <c r="BSL159" s="54"/>
      <c r="BSM159" s="58"/>
      <c r="BSN159" s="58"/>
      <c r="BSO159" s="58"/>
      <c r="BSP159" s="58"/>
      <c r="BSQ159" s="59"/>
      <c r="BSR159" s="60"/>
      <c r="BSS159" s="54"/>
      <c r="BST159" s="54"/>
      <c r="BSU159" s="36"/>
      <c r="BSV159" s="55"/>
      <c r="BSW159" s="54"/>
      <c r="BSX159" s="56"/>
      <c r="BSY159" s="57"/>
      <c r="BSZ159" s="54"/>
      <c r="BTA159" s="54"/>
      <c r="BTB159" s="54"/>
      <c r="BTC159" s="58"/>
      <c r="BTD159" s="58"/>
      <c r="BTE159" s="58"/>
      <c r="BTF159" s="58"/>
      <c r="BTG159" s="59"/>
      <c r="BTH159" s="60"/>
      <c r="BTI159" s="54"/>
      <c r="BTJ159" s="54"/>
      <c r="BTK159" s="36"/>
      <c r="BTL159" s="55"/>
      <c r="BTM159" s="54"/>
      <c r="BTN159" s="56"/>
      <c r="BTO159" s="57"/>
      <c r="BTP159" s="54"/>
      <c r="BTQ159" s="54"/>
      <c r="BTR159" s="54"/>
      <c r="BTS159" s="58"/>
      <c r="BTT159" s="58"/>
      <c r="BTU159" s="58"/>
      <c r="BTV159" s="58"/>
      <c r="BTW159" s="59"/>
      <c r="BTX159" s="60"/>
      <c r="BTY159" s="54"/>
      <c r="BTZ159" s="54"/>
      <c r="BUA159" s="36"/>
      <c r="BUB159" s="55"/>
      <c r="BUC159" s="54"/>
      <c r="BUD159" s="56"/>
      <c r="BUE159" s="57"/>
      <c r="BUF159" s="54"/>
      <c r="BUG159" s="54"/>
      <c r="BUH159" s="54"/>
      <c r="BUI159" s="58"/>
      <c r="BUJ159" s="58"/>
      <c r="BUK159" s="58"/>
      <c r="BUL159" s="58"/>
      <c r="BUM159" s="59"/>
      <c r="BUN159" s="60"/>
      <c r="BUO159" s="54"/>
      <c r="BUP159" s="54"/>
      <c r="BUQ159" s="36"/>
      <c r="BUR159" s="55"/>
      <c r="BUS159" s="54"/>
      <c r="BUT159" s="56"/>
      <c r="BUU159" s="57"/>
      <c r="BUV159" s="54"/>
      <c r="BUW159" s="54"/>
      <c r="BUX159" s="54"/>
      <c r="BUY159" s="58"/>
      <c r="BUZ159" s="58"/>
      <c r="BVA159" s="58"/>
      <c r="BVB159" s="58"/>
      <c r="BVC159" s="59"/>
      <c r="BVD159" s="60"/>
      <c r="BVE159" s="54"/>
      <c r="BVF159" s="54"/>
      <c r="BVG159" s="36"/>
      <c r="BVH159" s="55"/>
      <c r="BVI159" s="54"/>
      <c r="BVJ159" s="56"/>
      <c r="BVK159" s="57"/>
      <c r="BVL159" s="54"/>
      <c r="BVM159" s="54"/>
      <c r="BVN159" s="54"/>
      <c r="BVO159" s="58"/>
      <c r="BVP159" s="58"/>
      <c r="BVQ159" s="58"/>
      <c r="BVR159" s="58"/>
      <c r="BVS159" s="59"/>
      <c r="BVT159" s="60"/>
      <c r="BVU159" s="54"/>
      <c r="BVV159" s="54"/>
      <c r="BVW159" s="36"/>
      <c r="BVX159" s="55"/>
      <c r="BVY159" s="54"/>
      <c r="BVZ159" s="56"/>
      <c r="BWA159" s="57"/>
      <c r="BWB159" s="54"/>
      <c r="BWC159" s="54"/>
      <c r="BWD159" s="54"/>
      <c r="BWE159" s="58"/>
      <c r="BWF159" s="58"/>
      <c r="BWG159" s="58"/>
      <c r="BWH159" s="58"/>
      <c r="BWI159" s="59"/>
      <c r="BWJ159" s="60"/>
      <c r="BWK159" s="54"/>
      <c r="BWL159" s="54"/>
      <c r="BWM159" s="36"/>
      <c r="BWN159" s="55"/>
      <c r="BWO159" s="54"/>
      <c r="BWP159" s="56"/>
      <c r="BWQ159" s="57"/>
      <c r="BWR159" s="54"/>
      <c r="BWS159" s="54"/>
      <c r="BWT159" s="54"/>
      <c r="BWU159" s="58"/>
      <c r="BWV159" s="58"/>
      <c r="BWW159" s="58"/>
      <c r="BWX159" s="58"/>
      <c r="BWY159" s="59"/>
      <c r="BWZ159" s="60"/>
      <c r="BXA159" s="54"/>
      <c r="BXB159" s="54"/>
      <c r="BXC159" s="36"/>
      <c r="BXD159" s="55"/>
      <c r="BXE159" s="54"/>
      <c r="BXF159" s="56"/>
      <c r="BXG159" s="57"/>
      <c r="BXH159" s="54"/>
      <c r="BXI159" s="54"/>
      <c r="BXJ159" s="54"/>
      <c r="BXK159" s="58"/>
      <c r="BXL159" s="58"/>
      <c r="BXM159" s="58"/>
      <c r="BXN159" s="58"/>
      <c r="BXO159" s="59"/>
      <c r="BXP159" s="60"/>
      <c r="BXQ159" s="54"/>
      <c r="BXR159" s="54"/>
      <c r="BXS159" s="36"/>
      <c r="BXT159" s="55"/>
      <c r="BXU159" s="54"/>
      <c r="BXV159" s="56"/>
      <c r="BXW159" s="57"/>
      <c r="BXX159" s="54"/>
      <c r="BXY159" s="54"/>
      <c r="BXZ159" s="54"/>
      <c r="BYA159" s="58"/>
      <c r="BYB159" s="58"/>
      <c r="BYC159" s="58"/>
      <c r="BYD159" s="58"/>
      <c r="BYE159" s="59"/>
      <c r="BYF159" s="60"/>
      <c r="BYG159" s="54"/>
      <c r="BYH159" s="54"/>
      <c r="BYI159" s="36"/>
      <c r="BYJ159" s="55"/>
      <c r="BYK159" s="54"/>
      <c r="BYL159" s="56"/>
      <c r="BYM159" s="57"/>
      <c r="BYN159" s="54"/>
      <c r="BYO159" s="54"/>
      <c r="BYP159" s="54"/>
      <c r="BYQ159" s="58"/>
      <c r="BYR159" s="58"/>
      <c r="BYS159" s="58"/>
      <c r="BYT159" s="58"/>
      <c r="BYU159" s="59"/>
      <c r="BYV159" s="60"/>
      <c r="BYW159" s="54"/>
      <c r="BYX159" s="54"/>
      <c r="BYY159" s="36"/>
      <c r="BYZ159" s="55"/>
      <c r="BZA159" s="54"/>
      <c r="BZB159" s="56"/>
      <c r="BZC159" s="57"/>
      <c r="BZD159" s="54"/>
      <c r="BZE159" s="54"/>
      <c r="BZF159" s="54"/>
      <c r="BZG159" s="58"/>
      <c r="BZH159" s="58"/>
      <c r="BZI159" s="58"/>
      <c r="BZJ159" s="58"/>
      <c r="BZK159" s="59"/>
      <c r="BZL159" s="60"/>
      <c r="BZM159" s="54"/>
      <c r="BZN159" s="54"/>
      <c r="BZO159" s="36"/>
      <c r="BZP159" s="55"/>
      <c r="BZQ159" s="54"/>
      <c r="BZR159" s="56"/>
      <c r="BZS159" s="57"/>
      <c r="BZT159" s="54"/>
      <c r="BZU159" s="54"/>
      <c r="BZV159" s="54"/>
      <c r="BZW159" s="58"/>
      <c r="BZX159" s="58"/>
      <c r="BZY159" s="58"/>
      <c r="BZZ159" s="58"/>
      <c r="CAA159" s="59"/>
      <c r="CAB159" s="60"/>
      <c r="CAC159" s="54"/>
      <c r="CAD159" s="54"/>
      <c r="CAE159" s="36"/>
      <c r="CAF159" s="55"/>
      <c r="CAG159" s="54"/>
      <c r="CAH159" s="56"/>
      <c r="CAI159" s="57"/>
      <c r="CAJ159" s="54"/>
      <c r="CAK159" s="54"/>
      <c r="CAL159" s="54"/>
      <c r="CAM159" s="58"/>
      <c r="CAN159" s="58"/>
      <c r="CAO159" s="58"/>
      <c r="CAP159" s="58"/>
      <c r="CAQ159" s="59"/>
      <c r="CAR159" s="60"/>
      <c r="CAS159" s="54"/>
      <c r="CAT159" s="54"/>
      <c r="CAU159" s="36"/>
      <c r="CAV159" s="55"/>
      <c r="CAW159" s="54"/>
      <c r="CAX159" s="56"/>
      <c r="CAY159" s="57"/>
      <c r="CAZ159" s="54"/>
      <c r="CBA159" s="54"/>
      <c r="CBB159" s="54"/>
      <c r="CBC159" s="58"/>
      <c r="CBD159" s="58"/>
      <c r="CBE159" s="58"/>
      <c r="CBF159" s="58"/>
      <c r="CBG159" s="59"/>
      <c r="CBH159" s="60"/>
      <c r="CBI159" s="54"/>
      <c r="CBJ159" s="54"/>
      <c r="CBK159" s="36"/>
      <c r="CBL159" s="55"/>
      <c r="CBM159" s="54"/>
      <c r="CBN159" s="56"/>
      <c r="CBO159" s="57"/>
      <c r="CBP159" s="54"/>
      <c r="CBQ159" s="54"/>
      <c r="CBR159" s="54"/>
      <c r="CBS159" s="58"/>
      <c r="CBT159" s="58"/>
      <c r="CBU159" s="58"/>
      <c r="CBV159" s="58"/>
      <c r="CBW159" s="59"/>
      <c r="CBX159" s="60"/>
      <c r="CBY159" s="54"/>
      <c r="CBZ159" s="54"/>
      <c r="CCA159" s="36"/>
      <c r="CCB159" s="55"/>
      <c r="CCC159" s="54"/>
      <c r="CCD159" s="56"/>
      <c r="CCE159" s="57"/>
      <c r="CCF159" s="54"/>
      <c r="CCG159" s="54"/>
      <c r="CCH159" s="54"/>
      <c r="CCI159" s="58"/>
      <c r="CCJ159" s="58"/>
      <c r="CCK159" s="58"/>
      <c r="CCL159" s="58"/>
      <c r="CCM159" s="59"/>
      <c r="CCN159" s="60"/>
      <c r="CCO159" s="54"/>
      <c r="CCP159" s="54"/>
      <c r="CCQ159" s="36"/>
      <c r="CCR159" s="55"/>
      <c r="CCS159" s="54"/>
      <c r="CCT159" s="56"/>
      <c r="CCU159" s="57"/>
      <c r="CCV159" s="54"/>
      <c r="CCW159" s="54"/>
      <c r="CCX159" s="54"/>
      <c r="CCY159" s="58"/>
      <c r="CCZ159" s="58"/>
      <c r="CDA159" s="58"/>
      <c r="CDB159" s="58"/>
      <c r="CDC159" s="59"/>
      <c r="CDD159" s="60"/>
      <c r="CDE159" s="54"/>
      <c r="CDF159" s="54"/>
      <c r="CDG159" s="36"/>
      <c r="CDH159" s="55"/>
      <c r="CDI159" s="54"/>
      <c r="CDJ159" s="56"/>
      <c r="CDK159" s="57"/>
      <c r="CDL159" s="54"/>
      <c r="CDM159" s="54"/>
      <c r="CDN159" s="54"/>
      <c r="CDO159" s="58"/>
      <c r="CDP159" s="58"/>
      <c r="CDQ159" s="58"/>
      <c r="CDR159" s="58"/>
      <c r="CDS159" s="59"/>
      <c r="CDT159" s="60"/>
      <c r="CDU159" s="54"/>
      <c r="CDV159" s="54"/>
      <c r="CDW159" s="36"/>
      <c r="CDX159" s="55"/>
      <c r="CDY159" s="54"/>
      <c r="CDZ159" s="56"/>
      <c r="CEA159" s="57"/>
      <c r="CEB159" s="54"/>
      <c r="CEC159" s="54"/>
      <c r="CED159" s="54"/>
      <c r="CEE159" s="58"/>
      <c r="CEF159" s="58"/>
      <c r="CEG159" s="58"/>
      <c r="CEH159" s="58"/>
      <c r="CEI159" s="59"/>
      <c r="CEJ159" s="60"/>
      <c r="CEK159" s="54"/>
      <c r="CEL159" s="54"/>
      <c r="CEM159" s="36"/>
      <c r="CEN159" s="55"/>
      <c r="CEO159" s="54"/>
      <c r="CEP159" s="56"/>
      <c r="CEQ159" s="57"/>
      <c r="CER159" s="54"/>
      <c r="CES159" s="54"/>
      <c r="CET159" s="54"/>
      <c r="CEU159" s="58"/>
      <c r="CEV159" s="58"/>
      <c r="CEW159" s="58"/>
      <c r="CEX159" s="58"/>
      <c r="CEY159" s="59"/>
      <c r="CEZ159" s="60"/>
      <c r="CFA159" s="54"/>
      <c r="CFB159" s="54"/>
      <c r="CFC159" s="36"/>
      <c r="CFD159" s="55"/>
      <c r="CFE159" s="54"/>
      <c r="CFF159" s="56"/>
      <c r="CFG159" s="57"/>
      <c r="CFH159" s="54"/>
      <c r="CFI159" s="54"/>
      <c r="CFJ159" s="54"/>
      <c r="CFK159" s="58"/>
      <c r="CFL159" s="58"/>
      <c r="CFM159" s="58"/>
      <c r="CFN159" s="58"/>
      <c r="CFO159" s="59"/>
      <c r="CFP159" s="60"/>
      <c r="CFQ159" s="54"/>
      <c r="CFR159" s="54"/>
      <c r="CFS159" s="36"/>
      <c r="CFT159" s="55"/>
      <c r="CFU159" s="54"/>
      <c r="CFV159" s="56"/>
      <c r="CFW159" s="57"/>
      <c r="CFX159" s="54"/>
      <c r="CFY159" s="54"/>
      <c r="CFZ159" s="54"/>
      <c r="CGA159" s="58"/>
      <c r="CGB159" s="58"/>
      <c r="CGC159" s="58"/>
      <c r="CGD159" s="58"/>
      <c r="CGE159" s="59"/>
      <c r="CGF159" s="60"/>
      <c r="CGG159" s="54"/>
      <c r="CGH159" s="54"/>
      <c r="CGI159" s="36"/>
      <c r="CGJ159" s="55"/>
      <c r="CGK159" s="54"/>
      <c r="CGL159" s="56"/>
      <c r="CGM159" s="57"/>
      <c r="CGN159" s="54"/>
      <c r="CGO159" s="54"/>
      <c r="CGP159" s="54"/>
      <c r="CGQ159" s="58"/>
      <c r="CGR159" s="58"/>
      <c r="CGS159" s="58"/>
      <c r="CGT159" s="58"/>
      <c r="CGU159" s="59"/>
      <c r="CGV159" s="60"/>
      <c r="CGW159" s="54"/>
      <c r="CGX159" s="54"/>
      <c r="CGY159" s="36"/>
      <c r="CGZ159" s="55"/>
      <c r="CHA159" s="54"/>
      <c r="CHB159" s="56"/>
      <c r="CHC159" s="57"/>
      <c r="CHD159" s="54"/>
      <c r="CHE159" s="54"/>
      <c r="CHF159" s="54"/>
      <c r="CHG159" s="58"/>
      <c r="CHH159" s="58"/>
      <c r="CHI159" s="58"/>
      <c r="CHJ159" s="58"/>
      <c r="CHK159" s="59"/>
      <c r="CHL159" s="60"/>
      <c r="CHM159" s="54"/>
      <c r="CHN159" s="54"/>
      <c r="CHO159" s="36"/>
      <c r="CHP159" s="55"/>
      <c r="CHQ159" s="54"/>
      <c r="CHR159" s="56"/>
      <c r="CHS159" s="57"/>
      <c r="CHT159" s="54"/>
      <c r="CHU159" s="54"/>
      <c r="CHV159" s="54"/>
      <c r="CHW159" s="58"/>
      <c r="CHX159" s="58"/>
      <c r="CHY159" s="58"/>
      <c r="CHZ159" s="58"/>
      <c r="CIA159" s="59"/>
      <c r="CIB159" s="60"/>
      <c r="CIC159" s="54"/>
      <c r="CID159" s="54"/>
      <c r="CIE159" s="36"/>
      <c r="CIF159" s="55"/>
      <c r="CIG159" s="54"/>
      <c r="CIH159" s="56"/>
      <c r="CII159" s="57"/>
      <c r="CIJ159" s="54"/>
      <c r="CIK159" s="54"/>
      <c r="CIL159" s="54"/>
      <c r="CIM159" s="58"/>
      <c r="CIN159" s="58"/>
      <c r="CIO159" s="58"/>
      <c r="CIP159" s="58"/>
      <c r="CIQ159" s="59"/>
      <c r="CIR159" s="60"/>
      <c r="CIS159" s="54"/>
      <c r="CIT159" s="54"/>
      <c r="CIU159" s="36"/>
      <c r="CIV159" s="55"/>
      <c r="CIW159" s="54"/>
      <c r="CIX159" s="56"/>
      <c r="CIY159" s="57"/>
      <c r="CIZ159" s="54"/>
      <c r="CJA159" s="54"/>
      <c r="CJB159" s="54"/>
      <c r="CJC159" s="58"/>
      <c r="CJD159" s="58"/>
      <c r="CJE159" s="58"/>
      <c r="CJF159" s="58"/>
      <c r="CJG159" s="59"/>
      <c r="CJH159" s="60"/>
      <c r="CJI159" s="54"/>
      <c r="CJJ159" s="54"/>
      <c r="CJK159" s="36"/>
      <c r="CJL159" s="55"/>
      <c r="CJM159" s="54"/>
      <c r="CJN159" s="56"/>
      <c r="CJO159" s="57"/>
      <c r="CJP159" s="54"/>
      <c r="CJQ159" s="54"/>
      <c r="CJR159" s="54"/>
      <c r="CJS159" s="58"/>
      <c r="CJT159" s="58"/>
      <c r="CJU159" s="58"/>
      <c r="CJV159" s="58"/>
      <c r="CJW159" s="59"/>
      <c r="CJX159" s="60"/>
      <c r="CJY159" s="54"/>
      <c r="CJZ159" s="54"/>
      <c r="CKA159" s="36"/>
      <c r="CKB159" s="55"/>
      <c r="CKC159" s="54"/>
      <c r="CKD159" s="56"/>
      <c r="CKE159" s="57"/>
      <c r="CKF159" s="54"/>
      <c r="CKG159" s="54"/>
      <c r="CKH159" s="54"/>
      <c r="CKI159" s="58"/>
      <c r="CKJ159" s="58"/>
      <c r="CKK159" s="58"/>
      <c r="CKL159" s="58"/>
      <c r="CKM159" s="59"/>
      <c r="CKN159" s="60"/>
      <c r="CKO159" s="54"/>
      <c r="CKP159" s="54"/>
      <c r="CKQ159" s="36"/>
      <c r="CKR159" s="55"/>
      <c r="CKS159" s="54"/>
      <c r="CKT159" s="56"/>
      <c r="CKU159" s="57"/>
      <c r="CKV159" s="54"/>
      <c r="CKW159" s="54"/>
      <c r="CKX159" s="54"/>
      <c r="CKY159" s="58"/>
      <c r="CKZ159" s="58"/>
      <c r="CLA159" s="58"/>
      <c r="CLB159" s="58"/>
      <c r="CLC159" s="59"/>
      <c r="CLD159" s="60"/>
      <c r="CLE159" s="54"/>
      <c r="CLF159" s="54"/>
      <c r="CLG159" s="36"/>
      <c r="CLH159" s="55"/>
      <c r="CLI159" s="54"/>
      <c r="CLJ159" s="56"/>
      <c r="CLK159" s="57"/>
      <c r="CLL159" s="54"/>
      <c r="CLM159" s="54"/>
      <c r="CLN159" s="54"/>
      <c r="CLO159" s="58"/>
      <c r="CLP159" s="58"/>
      <c r="CLQ159" s="58"/>
      <c r="CLR159" s="58"/>
      <c r="CLS159" s="59"/>
      <c r="CLT159" s="60"/>
      <c r="CLU159" s="54"/>
      <c r="CLV159" s="54"/>
      <c r="CLW159" s="36"/>
      <c r="CLX159" s="55"/>
      <c r="CLY159" s="54"/>
      <c r="CLZ159" s="56"/>
      <c r="CMA159" s="57"/>
      <c r="CMB159" s="54"/>
      <c r="CMC159" s="54"/>
      <c r="CMD159" s="54"/>
      <c r="CME159" s="58"/>
      <c r="CMF159" s="58"/>
      <c r="CMG159" s="58"/>
      <c r="CMH159" s="58"/>
      <c r="CMI159" s="59"/>
      <c r="CMJ159" s="60"/>
      <c r="CMK159" s="54"/>
      <c r="CML159" s="54"/>
      <c r="CMM159" s="36"/>
      <c r="CMN159" s="55"/>
      <c r="CMO159" s="54"/>
      <c r="CMP159" s="56"/>
      <c r="CMQ159" s="57"/>
      <c r="CMR159" s="54"/>
      <c r="CMS159" s="54"/>
      <c r="CMT159" s="54"/>
      <c r="CMU159" s="58"/>
      <c r="CMV159" s="58"/>
      <c r="CMW159" s="58"/>
      <c r="CMX159" s="58"/>
      <c r="CMY159" s="59"/>
      <c r="CMZ159" s="60"/>
      <c r="CNA159" s="54"/>
      <c r="CNB159" s="54"/>
      <c r="CNC159" s="36"/>
      <c r="CND159" s="55"/>
      <c r="CNE159" s="54"/>
      <c r="CNF159" s="56"/>
      <c r="CNG159" s="57"/>
      <c r="CNH159" s="54"/>
      <c r="CNI159" s="54"/>
      <c r="CNJ159" s="54"/>
      <c r="CNK159" s="58"/>
      <c r="CNL159" s="58"/>
      <c r="CNM159" s="58"/>
      <c r="CNN159" s="58"/>
      <c r="CNO159" s="59"/>
      <c r="CNP159" s="60"/>
      <c r="CNQ159" s="54"/>
      <c r="CNR159" s="54"/>
      <c r="CNS159" s="36"/>
      <c r="CNT159" s="55"/>
      <c r="CNU159" s="54"/>
      <c r="CNV159" s="56"/>
      <c r="CNW159" s="57"/>
      <c r="CNX159" s="54"/>
      <c r="CNY159" s="54"/>
      <c r="CNZ159" s="54"/>
      <c r="COA159" s="58"/>
      <c r="COB159" s="58"/>
      <c r="COC159" s="58"/>
      <c r="COD159" s="58"/>
      <c r="COE159" s="59"/>
      <c r="COF159" s="60"/>
      <c r="COG159" s="54"/>
      <c r="COH159" s="54"/>
      <c r="COI159" s="36"/>
      <c r="COJ159" s="55"/>
      <c r="COK159" s="54"/>
      <c r="COL159" s="56"/>
      <c r="COM159" s="57"/>
      <c r="CON159" s="54"/>
      <c r="COO159" s="54"/>
      <c r="COP159" s="54"/>
      <c r="COQ159" s="58"/>
      <c r="COR159" s="58"/>
      <c r="COS159" s="58"/>
      <c r="COT159" s="58"/>
      <c r="COU159" s="59"/>
      <c r="COV159" s="60"/>
      <c r="COW159" s="54"/>
      <c r="COX159" s="54"/>
      <c r="COY159" s="36"/>
      <c r="COZ159" s="55"/>
      <c r="CPA159" s="54"/>
      <c r="CPB159" s="56"/>
      <c r="CPC159" s="57"/>
      <c r="CPD159" s="54"/>
      <c r="CPE159" s="54"/>
      <c r="CPF159" s="54"/>
      <c r="CPG159" s="58"/>
      <c r="CPH159" s="58"/>
      <c r="CPI159" s="58"/>
      <c r="CPJ159" s="58"/>
      <c r="CPK159" s="59"/>
      <c r="CPL159" s="60"/>
      <c r="CPM159" s="54"/>
      <c r="CPN159" s="54"/>
      <c r="CPO159" s="36"/>
      <c r="CPP159" s="55"/>
      <c r="CPQ159" s="54"/>
      <c r="CPR159" s="56"/>
      <c r="CPS159" s="57"/>
      <c r="CPT159" s="54"/>
      <c r="CPU159" s="54"/>
      <c r="CPV159" s="54"/>
      <c r="CPW159" s="58"/>
      <c r="CPX159" s="58"/>
      <c r="CPY159" s="58"/>
      <c r="CPZ159" s="58"/>
      <c r="CQA159" s="59"/>
      <c r="CQB159" s="60"/>
      <c r="CQC159" s="54"/>
      <c r="CQD159" s="54"/>
      <c r="CQE159" s="36"/>
      <c r="CQF159" s="55"/>
      <c r="CQG159" s="54"/>
      <c r="CQH159" s="56"/>
      <c r="CQI159" s="57"/>
      <c r="CQJ159" s="54"/>
      <c r="CQK159" s="54"/>
      <c r="CQL159" s="54"/>
      <c r="CQM159" s="58"/>
      <c r="CQN159" s="58"/>
      <c r="CQO159" s="58"/>
      <c r="CQP159" s="58"/>
      <c r="CQQ159" s="59"/>
      <c r="CQR159" s="60"/>
      <c r="CQS159" s="54"/>
      <c r="CQT159" s="54"/>
      <c r="CQU159" s="36"/>
      <c r="CQV159" s="55"/>
      <c r="CQW159" s="54"/>
      <c r="CQX159" s="56"/>
      <c r="CQY159" s="57"/>
      <c r="CQZ159" s="54"/>
      <c r="CRA159" s="54"/>
      <c r="CRB159" s="54"/>
      <c r="CRC159" s="58"/>
      <c r="CRD159" s="58"/>
      <c r="CRE159" s="58"/>
      <c r="CRF159" s="58"/>
      <c r="CRG159" s="59"/>
      <c r="CRH159" s="60"/>
      <c r="CRI159" s="54"/>
      <c r="CRJ159" s="54"/>
      <c r="CRK159" s="36"/>
      <c r="CRL159" s="55"/>
      <c r="CRM159" s="54"/>
      <c r="CRN159" s="56"/>
      <c r="CRO159" s="57"/>
      <c r="CRP159" s="54"/>
      <c r="CRQ159" s="54"/>
      <c r="CRR159" s="54"/>
      <c r="CRS159" s="58"/>
      <c r="CRT159" s="58"/>
      <c r="CRU159" s="58"/>
      <c r="CRV159" s="58"/>
      <c r="CRW159" s="59"/>
      <c r="CRX159" s="60"/>
      <c r="CRY159" s="54"/>
      <c r="CRZ159" s="54"/>
      <c r="CSA159" s="36"/>
      <c r="CSB159" s="55"/>
      <c r="CSC159" s="54"/>
      <c r="CSD159" s="56"/>
      <c r="CSE159" s="57"/>
      <c r="CSF159" s="54"/>
      <c r="CSG159" s="54"/>
      <c r="CSH159" s="54"/>
      <c r="CSI159" s="58"/>
      <c r="CSJ159" s="58"/>
      <c r="CSK159" s="58"/>
      <c r="CSL159" s="58"/>
      <c r="CSM159" s="59"/>
      <c r="CSN159" s="60"/>
      <c r="CSO159" s="54"/>
      <c r="CSP159" s="54"/>
      <c r="CSQ159" s="36"/>
      <c r="CSR159" s="55"/>
      <c r="CSS159" s="54"/>
      <c r="CST159" s="56"/>
      <c r="CSU159" s="57"/>
      <c r="CSV159" s="54"/>
      <c r="CSW159" s="54"/>
      <c r="CSX159" s="54"/>
      <c r="CSY159" s="58"/>
      <c r="CSZ159" s="58"/>
      <c r="CTA159" s="58"/>
      <c r="CTB159" s="58"/>
      <c r="CTC159" s="59"/>
      <c r="CTD159" s="60"/>
      <c r="CTE159" s="54"/>
      <c r="CTF159" s="54"/>
      <c r="CTG159" s="36"/>
      <c r="CTH159" s="55"/>
      <c r="CTI159" s="54"/>
      <c r="CTJ159" s="56"/>
      <c r="CTK159" s="57"/>
      <c r="CTL159" s="54"/>
      <c r="CTM159" s="54"/>
      <c r="CTN159" s="54"/>
      <c r="CTO159" s="58"/>
      <c r="CTP159" s="58"/>
      <c r="CTQ159" s="58"/>
      <c r="CTR159" s="58"/>
      <c r="CTS159" s="59"/>
      <c r="CTT159" s="60"/>
      <c r="CTU159" s="54"/>
      <c r="CTV159" s="54"/>
      <c r="CTW159" s="36"/>
      <c r="CTX159" s="55"/>
      <c r="CTY159" s="54"/>
      <c r="CTZ159" s="56"/>
      <c r="CUA159" s="57"/>
      <c r="CUB159" s="54"/>
      <c r="CUC159" s="54"/>
      <c r="CUD159" s="54"/>
      <c r="CUE159" s="58"/>
      <c r="CUF159" s="58"/>
      <c r="CUG159" s="58"/>
      <c r="CUH159" s="58"/>
      <c r="CUI159" s="59"/>
      <c r="CUJ159" s="60"/>
      <c r="CUK159" s="54"/>
      <c r="CUL159" s="54"/>
      <c r="CUM159" s="36"/>
      <c r="CUN159" s="55"/>
      <c r="CUO159" s="54"/>
      <c r="CUP159" s="56"/>
      <c r="CUQ159" s="57"/>
      <c r="CUR159" s="54"/>
      <c r="CUS159" s="54"/>
      <c r="CUT159" s="54"/>
      <c r="CUU159" s="58"/>
      <c r="CUV159" s="58"/>
      <c r="CUW159" s="58"/>
      <c r="CUX159" s="58"/>
      <c r="CUY159" s="59"/>
      <c r="CUZ159" s="60"/>
      <c r="CVA159" s="54"/>
      <c r="CVB159" s="54"/>
      <c r="CVC159" s="36"/>
      <c r="CVD159" s="55"/>
      <c r="CVE159" s="54"/>
      <c r="CVF159" s="56"/>
      <c r="CVG159" s="57"/>
      <c r="CVH159" s="54"/>
      <c r="CVI159" s="54"/>
      <c r="CVJ159" s="54"/>
      <c r="CVK159" s="58"/>
      <c r="CVL159" s="58"/>
      <c r="CVM159" s="58"/>
      <c r="CVN159" s="58"/>
      <c r="CVO159" s="59"/>
      <c r="CVP159" s="60"/>
      <c r="CVQ159" s="54"/>
      <c r="CVR159" s="54"/>
      <c r="CVS159" s="36"/>
      <c r="CVT159" s="55"/>
      <c r="CVU159" s="54"/>
      <c r="CVV159" s="56"/>
      <c r="CVW159" s="57"/>
      <c r="CVX159" s="54"/>
      <c r="CVY159" s="54"/>
      <c r="CVZ159" s="54"/>
      <c r="CWA159" s="58"/>
      <c r="CWB159" s="58"/>
      <c r="CWC159" s="58"/>
      <c r="CWD159" s="58"/>
      <c r="CWE159" s="59"/>
      <c r="CWF159" s="60"/>
      <c r="CWG159" s="54"/>
      <c r="CWH159" s="54"/>
      <c r="CWI159" s="36"/>
      <c r="CWJ159" s="55"/>
      <c r="CWK159" s="54"/>
      <c r="CWL159" s="56"/>
      <c r="CWM159" s="57"/>
      <c r="CWN159" s="54"/>
      <c r="CWO159" s="54"/>
      <c r="CWP159" s="54"/>
      <c r="CWQ159" s="58"/>
      <c r="CWR159" s="58"/>
      <c r="CWS159" s="58"/>
      <c r="CWT159" s="58"/>
      <c r="CWU159" s="59"/>
      <c r="CWV159" s="60"/>
      <c r="CWW159" s="54"/>
      <c r="CWX159" s="54"/>
      <c r="CWY159" s="36"/>
      <c r="CWZ159" s="55"/>
      <c r="CXA159" s="54"/>
      <c r="CXB159" s="56"/>
      <c r="CXC159" s="57"/>
      <c r="CXD159" s="54"/>
      <c r="CXE159" s="54"/>
      <c r="CXF159" s="54"/>
      <c r="CXG159" s="58"/>
      <c r="CXH159" s="58"/>
      <c r="CXI159" s="58"/>
      <c r="CXJ159" s="58"/>
      <c r="CXK159" s="59"/>
      <c r="CXL159" s="60"/>
      <c r="CXM159" s="54"/>
      <c r="CXN159" s="54"/>
      <c r="CXO159" s="36"/>
      <c r="CXP159" s="55"/>
      <c r="CXQ159" s="54"/>
      <c r="CXR159" s="56"/>
      <c r="CXS159" s="57"/>
      <c r="CXT159" s="54"/>
      <c r="CXU159" s="54"/>
      <c r="CXV159" s="54"/>
      <c r="CXW159" s="58"/>
      <c r="CXX159" s="58"/>
      <c r="CXY159" s="58"/>
      <c r="CXZ159" s="58"/>
      <c r="CYA159" s="59"/>
      <c r="CYB159" s="60"/>
      <c r="CYC159" s="54"/>
      <c r="CYD159" s="54"/>
      <c r="CYE159" s="36"/>
      <c r="CYF159" s="55"/>
      <c r="CYG159" s="54"/>
      <c r="CYH159" s="56"/>
      <c r="CYI159" s="57"/>
      <c r="CYJ159" s="54"/>
      <c r="CYK159" s="54"/>
      <c r="CYL159" s="54"/>
      <c r="CYM159" s="58"/>
      <c r="CYN159" s="58"/>
      <c r="CYO159" s="58"/>
      <c r="CYP159" s="58"/>
      <c r="CYQ159" s="59"/>
      <c r="CYR159" s="60"/>
      <c r="CYS159" s="54"/>
      <c r="CYT159" s="54"/>
      <c r="CYU159" s="36"/>
      <c r="CYV159" s="55"/>
      <c r="CYW159" s="54"/>
      <c r="CYX159" s="56"/>
      <c r="CYY159" s="57"/>
      <c r="CYZ159" s="54"/>
      <c r="CZA159" s="54"/>
      <c r="CZB159" s="54"/>
      <c r="CZC159" s="58"/>
      <c r="CZD159" s="58"/>
      <c r="CZE159" s="58"/>
      <c r="CZF159" s="58"/>
      <c r="CZG159" s="59"/>
      <c r="CZH159" s="60"/>
      <c r="CZI159" s="54"/>
      <c r="CZJ159" s="54"/>
      <c r="CZK159" s="36"/>
      <c r="CZL159" s="55"/>
      <c r="CZM159" s="54"/>
      <c r="CZN159" s="56"/>
      <c r="CZO159" s="57"/>
      <c r="CZP159" s="54"/>
      <c r="CZQ159" s="54"/>
      <c r="CZR159" s="54"/>
      <c r="CZS159" s="58"/>
      <c r="CZT159" s="58"/>
      <c r="CZU159" s="58"/>
      <c r="CZV159" s="58"/>
      <c r="CZW159" s="59"/>
      <c r="CZX159" s="60"/>
      <c r="CZY159" s="54"/>
      <c r="CZZ159" s="54"/>
      <c r="DAA159" s="36"/>
      <c r="DAB159" s="55"/>
      <c r="DAC159" s="54"/>
      <c r="DAD159" s="56"/>
      <c r="DAE159" s="57"/>
      <c r="DAF159" s="54"/>
      <c r="DAG159" s="54"/>
      <c r="DAH159" s="54"/>
      <c r="DAI159" s="58"/>
      <c r="DAJ159" s="58"/>
      <c r="DAK159" s="58"/>
      <c r="DAL159" s="58"/>
      <c r="DAM159" s="59"/>
      <c r="DAN159" s="60"/>
      <c r="DAO159" s="54"/>
      <c r="DAP159" s="54"/>
      <c r="DAQ159" s="36"/>
      <c r="DAR159" s="55"/>
      <c r="DAS159" s="54"/>
      <c r="DAT159" s="56"/>
      <c r="DAU159" s="57"/>
      <c r="DAV159" s="54"/>
      <c r="DAW159" s="54"/>
      <c r="DAX159" s="54"/>
      <c r="DAY159" s="58"/>
      <c r="DAZ159" s="58"/>
      <c r="DBA159" s="58"/>
      <c r="DBB159" s="58"/>
      <c r="DBC159" s="59"/>
      <c r="DBD159" s="60"/>
      <c r="DBE159" s="54"/>
      <c r="DBF159" s="54"/>
      <c r="DBG159" s="36"/>
      <c r="DBH159" s="55"/>
      <c r="DBI159" s="54"/>
      <c r="DBJ159" s="56"/>
      <c r="DBK159" s="57"/>
      <c r="DBL159" s="54"/>
      <c r="DBM159" s="54"/>
      <c r="DBN159" s="54"/>
      <c r="DBO159" s="58"/>
      <c r="DBP159" s="58"/>
      <c r="DBQ159" s="58"/>
      <c r="DBR159" s="58"/>
      <c r="DBS159" s="59"/>
      <c r="DBT159" s="60"/>
      <c r="DBU159" s="54"/>
      <c r="DBV159" s="54"/>
      <c r="DBW159" s="36"/>
      <c r="DBX159" s="55"/>
      <c r="DBY159" s="54"/>
      <c r="DBZ159" s="56"/>
      <c r="DCA159" s="57"/>
      <c r="DCB159" s="54"/>
      <c r="DCC159" s="54"/>
      <c r="DCD159" s="54"/>
      <c r="DCE159" s="58"/>
      <c r="DCF159" s="58"/>
      <c r="DCG159" s="58"/>
      <c r="DCH159" s="58"/>
      <c r="DCI159" s="59"/>
      <c r="DCJ159" s="60"/>
      <c r="DCK159" s="54"/>
      <c r="DCL159" s="54"/>
      <c r="DCM159" s="36"/>
      <c r="DCN159" s="55"/>
      <c r="DCO159" s="54"/>
      <c r="DCP159" s="56"/>
      <c r="DCQ159" s="57"/>
      <c r="DCR159" s="54"/>
      <c r="DCS159" s="54"/>
      <c r="DCT159" s="54"/>
      <c r="DCU159" s="58"/>
      <c r="DCV159" s="58"/>
      <c r="DCW159" s="58"/>
      <c r="DCX159" s="58"/>
      <c r="DCY159" s="59"/>
      <c r="DCZ159" s="60"/>
      <c r="DDA159" s="54"/>
      <c r="DDB159" s="54"/>
      <c r="DDC159" s="36"/>
      <c r="DDD159" s="55"/>
      <c r="DDE159" s="54"/>
      <c r="DDF159" s="56"/>
      <c r="DDG159" s="57"/>
      <c r="DDH159" s="54"/>
      <c r="DDI159" s="54"/>
      <c r="DDJ159" s="54"/>
      <c r="DDK159" s="58"/>
      <c r="DDL159" s="58"/>
      <c r="DDM159" s="58"/>
      <c r="DDN159" s="58"/>
      <c r="DDO159" s="59"/>
      <c r="DDP159" s="60"/>
      <c r="DDQ159" s="54"/>
      <c r="DDR159" s="54"/>
      <c r="DDS159" s="36"/>
      <c r="DDT159" s="55"/>
      <c r="DDU159" s="54"/>
      <c r="DDV159" s="56"/>
      <c r="DDW159" s="57"/>
      <c r="DDX159" s="54"/>
      <c r="DDY159" s="54"/>
      <c r="DDZ159" s="54"/>
      <c r="DEA159" s="58"/>
      <c r="DEB159" s="58"/>
      <c r="DEC159" s="58"/>
      <c r="DED159" s="58"/>
      <c r="DEE159" s="59"/>
      <c r="DEF159" s="60"/>
      <c r="DEG159" s="54"/>
      <c r="DEH159" s="54"/>
      <c r="DEI159" s="36"/>
      <c r="DEJ159" s="55"/>
      <c r="DEK159" s="54"/>
      <c r="DEL159" s="56"/>
      <c r="DEM159" s="57"/>
      <c r="DEN159" s="54"/>
      <c r="DEO159" s="54"/>
      <c r="DEP159" s="54"/>
      <c r="DEQ159" s="58"/>
      <c r="DER159" s="58"/>
      <c r="DES159" s="58"/>
      <c r="DET159" s="58"/>
      <c r="DEU159" s="59"/>
      <c r="DEV159" s="60"/>
      <c r="DEW159" s="54"/>
      <c r="DEX159" s="54"/>
      <c r="DEY159" s="36"/>
      <c r="DEZ159" s="55"/>
      <c r="DFA159" s="54"/>
      <c r="DFB159" s="56"/>
      <c r="DFC159" s="57"/>
      <c r="DFD159" s="54"/>
      <c r="DFE159" s="54"/>
      <c r="DFF159" s="54"/>
      <c r="DFG159" s="58"/>
      <c r="DFH159" s="58"/>
      <c r="DFI159" s="58"/>
      <c r="DFJ159" s="58"/>
      <c r="DFK159" s="59"/>
      <c r="DFL159" s="60"/>
      <c r="DFM159" s="54"/>
      <c r="DFN159" s="54"/>
      <c r="DFO159" s="36"/>
      <c r="DFP159" s="55"/>
      <c r="DFQ159" s="54"/>
      <c r="DFR159" s="56"/>
      <c r="DFS159" s="57"/>
      <c r="DFT159" s="54"/>
      <c r="DFU159" s="54"/>
      <c r="DFV159" s="54"/>
      <c r="DFW159" s="58"/>
      <c r="DFX159" s="58"/>
      <c r="DFY159" s="58"/>
      <c r="DFZ159" s="58"/>
      <c r="DGA159" s="59"/>
      <c r="DGB159" s="60"/>
      <c r="DGC159" s="54"/>
      <c r="DGD159" s="54"/>
      <c r="DGE159" s="36"/>
      <c r="DGF159" s="55"/>
      <c r="DGG159" s="54"/>
      <c r="DGH159" s="56"/>
      <c r="DGI159" s="57"/>
      <c r="DGJ159" s="54"/>
      <c r="DGK159" s="54"/>
      <c r="DGL159" s="54"/>
      <c r="DGM159" s="58"/>
      <c r="DGN159" s="58"/>
      <c r="DGO159" s="58"/>
      <c r="DGP159" s="58"/>
      <c r="DGQ159" s="59"/>
      <c r="DGR159" s="60"/>
      <c r="DGS159" s="54"/>
      <c r="DGT159" s="54"/>
      <c r="DGU159" s="36"/>
      <c r="DGV159" s="55"/>
      <c r="DGW159" s="54"/>
      <c r="DGX159" s="56"/>
      <c r="DGY159" s="57"/>
      <c r="DGZ159" s="54"/>
      <c r="DHA159" s="54"/>
      <c r="DHB159" s="54"/>
      <c r="DHC159" s="58"/>
      <c r="DHD159" s="58"/>
      <c r="DHE159" s="58"/>
      <c r="DHF159" s="58"/>
      <c r="DHG159" s="59"/>
      <c r="DHH159" s="60"/>
      <c r="DHI159" s="54"/>
      <c r="DHJ159" s="54"/>
      <c r="DHK159" s="36"/>
      <c r="DHL159" s="55"/>
      <c r="DHM159" s="54"/>
      <c r="DHN159" s="56"/>
      <c r="DHO159" s="57"/>
      <c r="DHP159" s="54"/>
      <c r="DHQ159" s="54"/>
      <c r="DHR159" s="54"/>
      <c r="DHS159" s="58"/>
      <c r="DHT159" s="58"/>
      <c r="DHU159" s="58"/>
      <c r="DHV159" s="58"/>
      <c r="DHW159" s="59"/>
      <c r="DHX159" s="60"/>
      <c r="DHY159" s="54"/>
      <c r="DHZ159" s="54"/>
      <c r="DIA159" s="36"/>
      <c r="DIB159" s="55"/>
      <c r="DIC159" s="54"/>
      <c r="DID159" s="56"/>
      <c r="DIE159" s="57"/>
      <c r="DIF159" s="54"/>
      <c r="DIG159" s="54"/>
      <c r="DIH159" s="54"/>
      <c r="DII159" s="58"/>
      <c r="DIJ159" s="58"/>
      <c r="DIK159" s="58"/>
      <c r="DIL159" s="58"/>
      <c r="DIM159" s="59"/>
      <c r="DIN159" s="60"/>
      <c r="DIO159" s="54"/>
      <c r="DIP159" s="54"/>
      <c r="DIQ159" s="36"/>
      <c r="DIR159" s="55"/>
      <c r="DIS159" s="54"/>
      <c r="DIT159" s="56"/>
      <c r="DIU159" s="57"/>
      <c r="DIV159" s="54"/>
      <c r="DIW159" s="54"/>
      <c r="DIX159" s="54"/>
      <c r="DIY159" s="58"/>
      <c r="DIZ159" s="58"/>
      <c r="DJA159" s="58"/>
      <c r="DJB159" s="58"/>
      <c r="DJC159" s="59"/>
      <c r="DJD159" s="60"/>
      <c r="DJE159" s="54"/>
      <c r="DJF159" s="54"/>
      <c r="DJG159" s="36"/>
      <c r="DJH159" s="55"/>
      <c r="DJI159" s="54"/>
      <c r="DJJ159" s="56"/>
      <c r="DJK159" s="57"/>
      <c r="DJL159" s="54"/>
      <c r="DJM159" s="54"/>
      <c r="DJN159" s="54"/>
      <c r="DJO159" s="58"/>
      <c r="DJP159" s="58"/>
      <c r="DJQ159" s="58"/>
      <c r="DJR159" s="58"/>
      <c r="DJS159" s="59"/>
      <c r="DJT159" s="60"/>
      <c r="DJU159" s="54"/>
      <c r="DJV159" s="54"/>
      <c r="DJW159" s="36"/>
      <c r="DJX159" s="55"/>
      <c r="DJY159" s="54"/>
      <c r="DJZ159" s="56"/>
      <c r="DKA159" s="57"/>
      <c r="DKB159" s="54"/>
      <c r="DKC159" s="54"/>
      <c r="DKD159" s="54"/>
      <c r="DKE159" s="58"/>
      <c r="DKF159" s="58"/>
      <c r="DKG159" s="58"/>
      <c r="DKH159" s="58"/>
      <c r="DKI159" s="59"/>
      <c r="DKJ159" s="60"/>
      <c r="DKK159" s="54"/>
      <c r="DKL159" s="54"/>
      <c r="DKM159" s="36"/>
      <c r="DKN159" s="55"/>
      <c r="DKO159" s="54"/>
      <c r="DKP159" s="56"/>
      <c r="DKQ159" s="57"/>
      <c r="DKR159" s="54"/>
      <c r="DKS159" s="54"/>
      <c r="DKT159" s="54"/>
      <c r="DKU159" s="58"/>
      <c r="DKV159" s="58"/>
      <c r="DKW159" s="58"/>
      <c r="DKX159" s="58"/>
      <c r="DKY159" s="59"/>
      <c r="DKZ159" s="60"/>
      <c r="DLA159" s="54"/>
      <c r="DLB159" s="54"/>
      <c r="DLC159" s="36"/>
      <c r="DLD159" s="55"/>
      <c r="DLE159" s="54"/>
      <c r="DLF159" s="56"/>
      <c r="DLG159" s="57"/>
      <c r="DLH159" s="54"/>
      <c r="DLI159" s="54"/>
      <c r="DLJ159" s="54"/>
      <c r="DLK159" s="58"/>
      <c r="DLL159" s="58"/>
      <c r="DLM159" s="58"/>
      <c r="DLN159" s="58"/>
      <c r="DLO159" s="59"/>
      <c r="DLP159" s="60"/>
      <c r="DLQ159" s="54"/>
      <c r="DLR159" s="54"/>
      <c r="DLS159" s="36"/>
      <c r="DLT159" s="55"/>
      <c r="DLU159" s="54"/>
      <c r="DLV159" s="56"/>
      <c r="DLW159" s="57"/>
      <c r="DLX159" s="54"/>
      <c r="DLY159" s="54"/>
      <c r="DLZ159" s="54"/>
      <c r="DMA159" s="58"/>
      <c r="DMB159" s="58"/>
      <c r="DMC159" s="58"/>
      <c r="DMD159" s="58"/>
      <c r="DME159" s="59"/>
      <c r="DMF159" s="60"/>
      <c r="DMG159" s="54"/>
      <c r="DMH159" s="54"/>
      <c r="DMI159" s="36"/>
      <c r="DMJ159" s="55"/>
      <c r="DMK159" s="54"/>
      <c r="DML159" s="56"/>
      <c r="DMM159" s="57"/>
      <c r="DMN159" s="54"/>
      <c r="DMO159" s="54"/>
      <c r="DMP159" s="54"/>
      <c r="DMQ159" s="58"/>
      <c r="DMR159" s="58"/>
      <c r="DMS159" s="58"/>
      <c r="DMT159" s="58"/>
      <c r="DMU159" s="59"/>
      <c r="DMV159" s="60"/>
      <c r="DMW159" s="54"/>
      <c r="DMX159" s="54"/>
      <c r="DMY159" s="36"/>
      <c r="DMZ159" s="55"/>
      <c r="DNA159" s="54"/>
      <c r="DNB159" s="56"/>
      <c r="DNC159" s="57"/>
      <c r="DND159" s="54"/>
      <c r="DNE159" s="54"/>
      <c r="DNF159" s="54"/>
      <c r="DNG159" s="58"/>
      <c r="DNH159" s="58"/>
      <c r="DNI159" s="58"/>
      <c r="DNJ159" s="58"/>
      <c r="DNK159" s="59"/>
      <c r="DNL159" s="60"/>
      <c r="DNM159" s="54"/>
      <c r="DNN159" s="54"/>
      <c r="DNO159" s="36"/>
      <c r="DNP159" s="55"/>
      <c r="DNQ159" s="54"/>
      <c r="DNR159" s="56"/>
      <c r="DNS159" s="57"/>
      <c r="DNT159" s="54"/>
      <c r="DNU159" s="54"/>
      <c r="DNV159" s="54"/>
      <c r="DNW159" s="58"/>
      <c r="DNX159" s="58"/>
      <c r="DNY159" s="58"/>
      <c r="DNZ159" s="58"/>
      <c r="DOA159" s="59"/>
      <c r="DOB159" s="60"/>
      <c r="DOC159" s="54"/>
      <c r="DOD159" s="54"/>
      <c r="DOE159" s="36"/>
      <c r="DOF159" s="55"/>
      <c r="DOG159" s="54"/>
      <c r="DOH159" s="56"/>
      <c r="DOI159" s="57"/>
      <c r="DOJ159" s="54"/>
      <c r="DOK159" s="54"/>
      <c r="DOL159" s="54"/>
      <c r="DOM159" s="58"/>
      <c r="DON159" s="58"/>
      <c r="DOO159" s="58"/>
      <c r="DOP159" s="58"/>
      <c r="DOQ159" s="59"/>
      <c r="DOR159" s="60"/>
      <c r="DOS159" s="54"/>
      <c r="DOT159" s="54"/>
      <c r="DOU159" s="36"/>
      <c r="DOV159" s="55"/>
      <c r="DOW159" s="54"/>
      <c r="DOX159" s="56"/>
      <c r="DOY159" s="57"/>
      <c r="DOZ159" s="54"/>
      <c r="DPA159" s="54"/>
      <c r="DPB159" s="54"/>
      <c r="DPC159" s="58"/>
      <c r="DPD159" s="58"/>
      <c r="DPE159" s="58"/>
      <c r="DPF159" s="58"/>
      <c r="DPG159" s="59"/>
      <c r="DPH159" s="60"/>
      <c r="DPI159" s="54"/>
      <c r="DPJ159" s="54"/>
      <c r="DPK159" s="36"/>
      <c r="DPL159" s="55"/>
      <c r="DPM159" s="54"/>
      <c r="DPN159" s="56"/>
      <c r="DPO159" s="57"/>
      <c r="DPP159" s="54"/>
      <c r="DPQ159" s="54"/>
      <c r="DPR159" s="54"/>
      <c r="DPS159" s="58"/>
      <c r="DPT159" s="58"/>
      <c r="DPU159" s="58"/>
      <c r="DPV159" s="58"/>
      <c r="DPW159" s="59"/>
      <c r="DPX159" s="60"/>
      <c r="DPY159" s="54"/>
      <c r="DPZ159" s="54"/>
      <c r="DQA159" s="36"/>
      <c r="DQB159" s="55"/>
      <c r="DQC159" s="54"/>
      <c r="DQD159" s="56"/>
      <c r="DQE159" s="57"/>
      <c r="DQF159" s="54"/>
      <c r="DQG159" s="54"/>
      <c r="DQH159" s="54"/>
      <c r="DQI159" s="58"/>
      <c r="DQJ159" s="58"/>
      <c r="DQK159" s="58"/>
      <c r="DQL159" s="58"/>
      <c r="DQM159" s="59"/>
      <c r="DQN159" s="60"/>
      <c r="DQO159" s="54"/>
      <c r="DQP159" s="54"/>
      <c r="DQQ159" s="36"/>
      <c r="DQR159" s="55"/>
      <c r="DQS159" s="54"/>
      <c r="DQT159" s="56"/>
      <c r="DQU159" s="57"/>
      <c r="DQV159" s="54"/>
      <c r="DQW159" s="54"/>
      <c r="DQX159" s="54"/>
      <c r="DQY159" s="58"/>
      <c r="DQZ159" s="58"/>
      <c r="DRA159" s="58"/>
      <c r="DRB159" s="58"/>
      <c r="DRC159" s="59"/>
      <c r="DRD159" s="60"/>
      <c r="DRE159" s="54"/>
      <c r="DRF159" s="54"/>
      <c r="DRG159" s="36"/>
      <c r="DRH159" s="55"/>
      <c r="DRI159" s="54"/>
      <c r="DRJ159" s="56"/>
      <c r="DRK159" s="57"/>
      <c r="DRL159" s="54"/>
      <c r="DRM159" s="54"/>
      <c r="DRN159" s="54"/>
      <c r="DRO159" s="58"/>
      <c r="DRP159" s="58"/>
      <c r="DRQ159" s="58"/>
      <c r="DRR159" s="58"/>
      <c r="DRS159" s="59"/>
      <c r="DRT159" s="60"/>
      <c r="DRU159" s="54"/>
      <c r="DRV159" s="54"/>
      <c r="DRW159" s="36"/>
      <c r="DRX159" s="55"/>
      <c r="DRY159" s="54"/>
      <c r="DRZ159" s="56"/>
      <c r="DSA159" s="57"/>
      <c r="DSB159" s="54"/>
      <c r="DSC159" s="54"/>
      <c r="DSD159" s="54"/>
      <c r="DSE159" s="58"/>
      <c r="DSF159" s="58"/>
      <c r="DSG159" s="58"/>
      <c r="DSH159" s="58"/>
      <c r="DSI159" s="59"/>
      <c r="DSJ159" s="60"/>
      <c r="DSK159" s="54"/>
      <c r="DSL159" s="54"/>
      <c r="DSM159" s="36"/>
      <c r="DSN159" s="55"/>
      <c r="DSO159" s="54"/>
      <c r="DSP159" s="56"/>
      <c r="DSQ159" s="57"/>
      <c r="DSR159" s="54"/>
      <c r="DSS159" s="54"/>
      <c r="DST159" s="54"/>
      <c r="DSU159" s="58"/>
      <c r="DSV159" s="58"/>
      <c r="DSW159" s="58"/>
      <c r="DSX159" s="58"/>
      <c r="DSY159" s="59"/>
      <c r="DSZ159" s="60"/>
      <c r="DTA159" s="54"/>
      <c r="DTB159" s="54"/>
      <c r="DTC159" s="36"/>
      <c r="DTD159" s="55"/>
      <c r="DTE159" s="54"/>
      <c r="DTF159" s="56"/>
      <c r="DTG159" s="57"/>
      <c r="DTH159" s="54"/>
      <c r="DTI159" s="54"/>
      <c r="DTJ159" s="54"/>
      <c r="DTK159" s="58"/>
      <c r="DTL159" s="58"/>
      <c r="DTM159" s="58"/>
      <c r="DTN159" s="58"/>
      <c r="DTO159" s="59"/>
      <c r="DTP159" s="60"/>
      <c r="DTQ159" s="54"/>
      <c r="DTR159" s="54"/>
      <c r="DTS159" s="36"/>
      <c r="DTT159" s="55"/>
      <c r="DTU159" s="54"/>
      <c r="DTV159" s="56"/>
      <c r="DTW159" s="57"/>
      <c r="DTX159" s="54"/>
      <c r="DTY159" s="54"/>
      <c r="DTZ159" s="54"/>
      <c r="DUA159" s="58"/>
      <c r="DUB159" s="58"/>
      <c r="DUC159" s="58"/>
      <c r="DUD159" s="58"/>
      <c r="DUE159" s="59"/>
      <c r="DUF159" s="60"/>
      <c r="DUG159" s="54"/>
      <c r="DUH159" s="54"/>
      <c r="DUI159" s="36"/>
      <c r="DUJ159" s="55"/>
      <c r="DUK159" s="54"/>
      <c r="DUL159" s="56"/>
      <c r="DUM159" s="57"/>
      <c r="DUN159" s="54"/>
      <c r="DUO159" s="54"/>
      <c r="DUP159" s="54"/>
      <c r="DUQ159" s="58"/>
      <c r="DUR159" s="58"/>
      <c r="DUS159" s="58"/>
      <c r="DUT159" s="58"/>
      <c r="DUU159" s="59"/>
      <c r="DUV159" s="60"/>
      <c r="DUW159" s="54"/>
      <c r="DUX159" s="54"/>
      <c r="DUY159" s="36"/>
      <c r="DUZ159" s="55"/>
      <c r="DVA159" s="54"/>
      <c r="DVB159" s="56"/>
      <c r="DVC159" s="57"/>
      <c r="DVD159" s="54"/>
      <c r="DVE159" s="54"/>
      <c r="DVF159" s="54"/>
      <c r="DVG159" s="58"/>
      <c r="DVH159" s="58"/>
      <c r="DVI159" s="58"/>
      <c r="DVJ159" s="58"/>
      <c r="DVK159" s="59"/>
      <c r="DVL159" s="60"/>
      <c r="DVM159" s="54"/>
      <c r="DVN159" s="54"/>
      <c r="DVO159" s="36"/>
      <c r="DVP159" s="55"/>
      <c r="DVQ159" s="54"/>
      <c r="DVR159" s="56"/>
      <c r="DVS159" s="57"/>
      <c r="DVT159" s="54"/>
      <c r="DVU159" s="54"/>
      <c r="DVV159" s="54"/>
      <c r="DVW159" s="58"/>
      <c r="DVX159" s="58"/>
      <c r="DVY159" s="58"/>
      <c r="DVZ159" s="58"/>
      <c r="DWA159" s="59"/>
      <c r="DWB159" s="60"/>
      <c r="DWC159" s="54"/>
      <c r="DWD159" s="54"/>
      <c r="DWE159" s="36"/>
      <c r="DWF159" s="55"/>
      <c r="DWG159" s="54"/>
      <c r="DWH159" s="56"/>
      <c r="DWI159" s="57"/>
      <c r="DWJ159" s="54"/>
      <c r="DWK159" s="54"/>
      <c r="DWL159" s="54"/>
      <c r="DWM159" s="58"/>
      <c r="DWN159" s="58"/>
      <c r="DWO159" s="58"/>
      <c r="DWP159" s="58"/>
      <c r="DWQ159" s="59"/>
      <c r="DWR159" s="60"/>
      <c r="DWS159" s="54"/>
      <c r="DWT159" s="54"/>
      <c r="DWU159" s="36"/>
      <c r="DWV159" s="55"/>
      <c r="DWW159" s="54"/>
      <c r="DWX159" s="56"/>
      <c r="DWY159" s="57"/>
      <c r="DWZ159" s="54"/>
      <c r="DXA159" s="54"/>
      <c r="DXB159" s="54"/>
      <c r="DXC159" s="58"/>
      <c r="DXD159" s="58"/>
      <c r="DXE159" s="58"/>
      <c r="DXF159" s="58"/>
      <c r="DXG159" s="59"/>
      <c r="DXH159" s="60"/>
      <c r="DXI159" s="54"/>
      <c r="DXJ159" s="54"/>
      <c r="DXK159" s="36"/>
      <c r="DXL159" s="55"/>
      <c r="DXM159" s="54"/>
      <c r="DXN159" s="56"/>
      <c r="DXO159" s="57"/>
      <c r="DXP159" s="54"/>
      <c r="DXQ159" s="54"/>
      <c r="DXR159" s="54"/>
      <c r="DXS159" s="58"/>
      <c r="DXT159" s="58"/>
      <c r="DXU159" s="58"/>
      <c r="DXV159" s="58"/>
      <c r="DXW159" s="59"/>
      <c r="DXX159" s="60"/>
      <c r="DXY159" s="54"/>
      <c r="DXZ159" s="54"/>
      <c r="DYA159" s="36"/>
      <c r="DYB159" s="55"/>
      <c r="DYC159" s="54"/>
      <c r="DYD159" s="56"/>
      <c r="DYE159" s="57"/>
      <c r="DYF159" s="54"/>
      <c r="DYG159" s="54"/>
      <c r="DYH159" s="54"/>
      <c r="DYI159" s="58"/>
      <c r="DYJ159" s="58"/>
      <c r="DYK159" s="58"/>
      <c r="DYL159" s="58"/>
      <c r="DYM159" s="59"/>
      <c r="DYN159" s="60"/>
      <c r="DYO159" s="54"/>
      <c r="DYP159" s="54"/>
      <c r="DYQ159" s="36"/>
      <c r="DYR159" s="55"/>
      <c r="DYS159" s="54"/>
      <c r="DYT159" s="56"/>
      <c r="DYU159" s="57"/>
      <c r="DYV159" s="54"/>
      <c r="DYW159" s="54"/>
      <c r="DYX159" s="54"/>
      <c r="DYY159" s="58"/>
      <c r="DYZ159" s="58"/>
      <c r="DZA159" s="58"/>
      <c r="DZB159" s="58"/>
      <c r="DZC159" s="59"/>
      <c r="DZD159" s="60"/>
      <c r="DZE159" s="54"/>
      <c r="DZF159" s="54"/>
      <c r="DZG159" s="36"/>
      <c r="DZH159" s="55"/>
      <c r="DZI159" s="54"/>
      <c r="DZJ159" s="56"/>
      <c r="DZK159" s="57"/>
      <c r="DZL159" s="54"/>
      <c r="DZM159" s="54"/>
      <c r="DZN159" s="54"/>
      <c r="DZO159" s="58"/>
      <c r="DZP159" s="58"/>
      <c r="DZQ159" s="58"/>
      <c r="DZR159" s="58"/>
      <c r="DZS159" s="59"/>
      <c r="DZT159" s="60"/>
      <c r="DZU159" s="54"/>
      <c r="DZV159" s="54"/>
      <c r="DZW159" s="36"/>
      <c r="DZX159" s="55"/>
      <c r="DZY159" s="54"/>
      <c r="DZZ159" s="56"/>
      <c r="EAA159" s="57"/>
      <c r="EAB159" s="54"/>
      <c r="EAC159" s="54"/>
      <c r="EAD159" s="54"/>
      <c r="EAE159" s="58"/>
      <c r="EAF159" s="58"/>
      <c r="EAG159" s="58"/>
      <c r="EAH159" s="58"/>
      <c r="EAI159" s="59"/>
      <c r="EAJ159" s="60"/>
      <c r="EAK159" s="54"/>
      <c r="EAL159" s="54"/>
      <c r="EAM159" s="36"/>
      <c r="EAN159" s="55"/>
      <c r="EAO159" s="54"/>
      <c r="EAP159" s="56"/>
      <c r="EAQ159" s="57"/>
      <c r="EAR159" s="54"/>
      <c r="EAS159" s="54"/>
      <c r="EAT159" s="54"/>
      <c r="EAU159" s="58"/>
      <c r="EAV159" s="58"/>
      <c r="EAW159" s="58"/>
      <c r="EAX159" s="58"/>
      <c r="EAY159" s="59"/>
      <c r="EAZ159" s="60"/>
      <c r="EBA159" s="54"/>
      <c r="EBB159" s="54"/>
      <c r="EBC159" s="36"/>
      <c r="EBD159" s="55"/>
      <c r="EBE159" s="54"/>
      <c r="EBF159" s="56"/>
      <c r="EBG159" s="57"/>
      <c r="EBH159" s="54"/>
      <c r="EBI159" s="54"/>
      <c r="EBJ159" s="54"/>
      <c r="EBK159" s="58"/>
      <c r="EBL159" s="58"/>
      <c r="EBM159" s="58"/>
      <c r="EBN159" s="58"/>
      <c r="EBO159" s="59"/>
      <c r="EBP159" s="60"/>
      <c r="EBQ159" s="54"/>
      <c r="EBR159" s="54"/>
      <c r="EBS159" s="36"/>
      <c r="EBT159" s="55"/>
      <c r="EBU159" s="54"/>
      <c r="EBV159" s="56"/>
      <c r="EBW159" s="57"/>
      <c r="EBX159" s="54"/>
      <c r="EBY159" s="54"/>
      <c r="EBZ159" s="54"/>
      <c r="ECA159" s="58"/>
      <c r="ECB159" s="58"/>
      <c r="ECC159" s="58"/>
      <c r="ECD159" s="58"/>
      <c r="ECE159" s="59"/>
      <c r="ECF159" s="60"/>
      <c r="ECG159" s="54"/>
      <c r="ECH159" s="54"/>
      <c r="ECI159" s="36"/>
      <c r="ECJ159" s="55"/>
      <c r="ECK159" s="54"/>
      <c r="ECL159" s="56"/>
      <c r="ECM159" s="57"/>
      <c r="ECN159" s="54"/>
      <c r="ECO159" s="54"/>
      <c r="ECP159" s="54"/>
      <c r="ECQ159" s="58"/>
      <c r="ECR159" s="58"/>
      <c r="ECS159" s="58"/>
      <c r="ECT159" s="58"/>
      <c r="ECU159" s="59"/>
      <c r="ECV159" s="60"/>
      <c r="ECW159" s="54"/>
      <c r="ECX159" s="54"/>
      <c r="ECY159" s="36"/>
      <c r="ECZ159" s="55"/>
      <c r="EDA159" s="54"/>
      <c r="EDB159" s="56"/>
      <c r="EDC159" s="57"/>
      <c r="EDD159" s="54"/>
      <c r="EDE159" s="54"/>
      <c r="EDF159" s="54"/>
      <c r="EDG159" s="58"/>
      <c r="EDH159" s="58"/>
      <c r="EDI159" s="58"/>
      <c r="EDJ159" s="58"/>
      <c r="EDK159" s="59"/>
      <c r="EDL159" s="60"/>
      <c r="EDM159" s="54"/>
      <c r="EDN159" s="54"/>
      <c r="EDO159" s="36"/>
      <c r="EDP159" s="55"/>
      <c r="EDQ159" s="54"/>
      <c r="EDR159" s="56"/>
      <c r="EDS159" s="57"/>
      <c r="EDT159" s="54"/>
      <c r="EDU159" s="54"/>
      <c r="EDV159" s="54"/>
      <c r="EDW159" s="58"/>
      <c r="EDX159" s="58"/>
      <c r="EDY159" s="58"/>
      <c r="EDZ159" s="58"/>
      <c r="EEA159" s="59"/>
      <c r="EEB159" s="60"/>
      <c r="EEC159" s="54"/>
      <c r="EED159" s="54"/>
      <c r="EEE159" s="36"/>
      <c r="EEF159" s="55"/>
      <c r="EEG159" s="54"/>
      <c r="EEH159" s="56"/>
      <c r="EEI159" s="57"/>
      <c r="EEJ159" s="54"/>
      <c r="EEK159" s="54"/>
      <c r="EEL159" s="54"/>
      <c r="EEM159" s="58"/>
      <c r="EEN159" s="58"/>
      <c r="EEO159" s="58"/>
      <c r="EEP159" s="58"/>
      <c r="EEQ159" s="59"/>
      <c r="EER159" s="60"/>
      <c r="EES159" s="54"/>
      <c r="EET159" s="54"/>
      <c r="EEU159" s="36"/>
      <c r="EEV159" s="55"/>
      <c r="EEW159" s="54"/>
      <c r="EEX159" s="56"/>
      <c r="EEY159" s="57"/>
      <c r="EEZ159" s="54"/>
      <c r="EFA159" s="54"/>
      <c r="EFB159" s="54"/>
      <c r="EFC159" s="58"/>
      <c r="EFD159" s="58"/>
      <c r="EFE159" s="58"/>
      <c r="EFF159" s="58"/>
      <c r="EFG159" s="59"/>
      <c r="EFH159" s="60"/>
      <c r="EFI159" s="54"/>
      <c r="EFJ159" s="54"/>
      <c r="EFK159" s="36"/>
      <c r="EFL159" s="55"/>
      <c r="EFM159" s="54"/>
      <c r="EFN159" s="56"/>
      <c r="EFO159" s="57"/>
      <c r="EFP159" s="54"/>
      <c r="EFQ159" s="54"/>
      <c r="EFR159" s="54"/>
      <c r="EFS159" s="58"/>
      <c r="EFT159" s="58"/>
      <c r="EFU159" s="58"/>
      <c r="EFV159" s="58"/>
      <c r="EFW159" s="59"/>
      <c r="EFX159" s="60"/>
      <c r="EFY159" s="54"/>
      <c r="EFZ159" s="54"/>
      <c r="EGA159" s="36"/>
      <c r="EGB159" s="55"/>
      <c r="EGC159" s="54"/>
      <c r="EGD159" s="56"/>
      <c r="EGE159" s="57"/>
      <c r="EGF159" s="54"/>
      <c r="EGG159" s="54"/>
      <c r="EGH159" s="54"/>
      <c r="EGI159" s="58"/>
      <c r="EGJ159" s="58"/>
      <c r="EGK159" s="58"/>
      <c r="EGL159" s="58"/>
      <c r="EGM159" s="59"/>
      <c r="EGN159" s="60"/>
      <c r="EGO159" s="54"/>
      <c r="EGP159" s="54"/>
      <c r="EGQ159" s="36"/>
      <c r="EGR159" s="55"/>
      <c r="EGS159" s="54"/>
      <c r="EGT159" s="56"/>
      <c r="EGU159" s="57"/>
      <c r="EGV159" s="54"/>
      <c r="EGW159" s="54"/>
      <c r="EGX159" s="54"/>
      <c r="EGY159" s="58"/>
      <c r="EGZ159" s="58"/>
      <c r="EHA159" s="58"/>
      <c r="EHB159" s="58"/>
      <c r="EHC159" s="59"/>
      <c r="EHD159" s="60"/>
      <c r="EHE159" s="54"/>
      <c r="EHF159" s="54"/>
      <c r="EHG159" s="36"/>
      <c r="EHH159" s="55"/>
      <c r="EHI159" s="54"/>
      <c r="EHJ159" s="56"/>
      <c r="EHK159" s="57"/>
      <c r="EHL159" s="54"/>
      <c r="EHM159" s="54"/>
      <c r="EHN159" s="54"/>
      <c r="EHO159" s="58"/>
      <c r="EHP159" s="58"/>
      <c r="EHQ159" s="58"/>
      <c r="EHR159" s="58"/>
      <c r="EHS159" s="59"/>
      <c r="EHT159" s="60"/>
      <c r="EHU159" s="54"/>
      <c r="EHV159" s="54"/>
      <c r="EHW159" s="36"/>
      <c r="EHX159" s="55"/>
      <c r="EHY159" s="54"/>
      <c r="EHZ159" s="56"/>
      <c r="EIA159" s="57"/>
      <c r="EIB159" s="54"/>
      <c r="EIC159" s="54"/>
      <c r="EID159" s="54"/>
      <c r="EIE159" s="58"/>
      <c r="EIF159" s="58"/>
      <c r="EIG159" s="58"/>
      <c r="EIH159" s="58"/>
      <c r="EII159" s="59"/>
      <c r="EIJ159" s="60"/>
      <c r="EIK159" s="54"/>
      <c r="EIL159" s="54"/>
      <c r="EIM159" s="36"/>
      <c r="EIN159" s="55"/>
      <c r="EIO159" s="54"/>
      <c r="EIP159" s="56"/>
      <c r="EIQ159" s="57"/>
      <c r="EIR159" s="54"/>
      <c r="EIS159" s="54"/>
      <c r="EIT159" s="54"/>
      <c r="EIU159" s="58"/>
      <c r="EIV159" s="58"/>
      <c r="EIW159" s="58"/>
      <c r="EIX159" s="58"/>
      <c r="EIY159" s="59"/>
      <c r="EIZ159" s="60"/>
      <c r="EJA159" s="54"/>
      <c r="EJB159" s="54"/>
      <c r="EJC159" s="36"/>
      <c r="EJD159" s="55"/>
      <c r="EJE159" s="54"/>
      <c r="EJF159" s="56"/>
      <c r="EJG159" s="57"/>
      <c r="EJH159" s="54"/>
      <c r="EJI159" s="54"/>
      <c r="EJJ159" s="54"/>
      <c r="EJK159" s="58"/>
      <c r="EJL159" s="58"/>
      <c r="EJM159" s="58"/>
      <c r="EJN159" s="58"/>
      <c r="EJO159" s="59"/>
      <c r="EJP159" s="60"/>
      <c r="EJQ159" s="54"/>
      <c r="EJR159" s="54"/>
      <c r="EJS159" s="36"/>
      <c r="EJT159" s="55"/>
      <c r="EJU159" s="54"/>
      <c r="EJV159" s="56"/>
      <c r="EJW159" s="57"/>
      <c r="EJX159" s="54"/>
      <c r="EJY159" s="54"/>
      <c r="EJZ159" s="54"/>
      <c r="EKA159" s="58"/>
      <c r="EKB159" s="58"/>
      <c r="EKC159" s="58"/>
      <c r="EKD159" s="58"/>
      <c r="EKE159" s="59"/>
      <c r="EKF159" s="60"/>
      <c r="EKG159" s="54"/>
      <c r="EKH159" s="54"/>
      <c r="EKI159" s="36"/>
      <c r="EKJ159" s="55"/>
      <c r="EKK159" s="54"/>
      <c r="EKL159" s="56"/>
      <c r="EKM159" s="57"/>
      <c r="EKN159" s="54"/>
      <c r="EKO159" s="54"/>
      <c r="EKP159" s="54"/>
      <c r="EKQ159" s="58"/>
      <c r="EKR159" s="58"/>
      <c r="EKS159" s="58"/>
      <c r="EKT159" s="58"/>
      <c r="EKU159" s="59"/>
      <c r="EKV159" s="60"/>
      <c r="EKW159" s="54"/>
      <c r="EKX159" s="54"/>
      <c r="EKY159" s="36"/>
      <c r="EKZ159" s="55"/>
      <c r="ELA159" s="54"/>
      <c r="ELB159" s="56"/>
      <c r="ELC159" s="57"/>
      <c r="ELD159" s="54"/>
      <c r="ELE159" s="54"/>
      <c r="ELF159" s="54"/>
      <c r="ELG159" s="58"/>
      <c r="ELH159" s="58"/>
      <c r="ELI159" s="58"/>
      <c r="ELJ159" s="58"/>
      <c r="ELK159" s="59"/>
      <c r="ELL159" s="60"/>
      <c r="ELM159" s="54"/>
      <c r="ELN159" s="54"/>
      <c r="ELO159" s="36"/>
      <c r="ELP159" s="55"/>
      <c r="ELQ159" s="54"/>
      <c r="ELR159" s="56"/>
      <c r="ELS159" s="57"/>
      <c r="ELT159" s="54"/>
      <c r="ELU159" s="54"/>
      <c r="ELV159" s="54"/>
      <c r="ELW159" s="58"/>
      <c r="ELX159" s="58"/>
      <c r="ELY159" s="58"/>
      <c r="ELZ159" s="58"/>
      <c r="EMA159" s="59"/>
      <c r="EMB159" s="60"/>
      <c r="EMC159" s="54"/>
      <c r="EMD159" s="54"/>
      <c r="EME159" s="36"/>
      <c r="EMF159" s="55"/>
      <c r="EMG159" s="54"/>
      <c r="EMH159" s="56"/>
      <c r="EMI159" s="57"/>
      <c r="EMJ159" s="54"/>
      <c r="EMK159" s="54"/>
      <c r="EML159" s="54"/>
      <c r="EMM159" s="58"/>
      <c r="EMN159" s="58"/>
      <c r="EMO159" s="58"/>
      <c r="EMP159" s="58"/>
      <c r="EMQ159" s="59"/>
      <c r="EMR159" s="60"/>
      <c r="EMS159" s="54"/>
      <c r="EMT159" s="54"/>
      <c r="EMU159" s="36"/>
      <c r="EMV159" s="55"/>
      <c r="EMW159" s="54"/>
      <c r="EMX159" s="56"/>
      <c r="EMY159" s="57"/>
      <c r="EMZ159" s="54"/>
      <c r="ENA159" s="54"/>
      <c r="ENB159" s="54"/>
      <c r="ENC159" s="58"/>
      <c r="END159" s="58"/>
      <c r="ENE159" s="58"/>
      <c r="ENF159" s="58"/>
      <c r="ENG159" s="59"/>
      <c r="ENH159" s="60"/>
      <c r="ENI159" s="54"/>
      <c r="ENJ159" s="54"/>
      <c r="ENK159" s="36"/>
      <c r="ENL159" s="55"/>
      <c r="ENM159" s="54"/>
      <c r="ENN159" s="56"/>
      <c r="ENO159" s="57"/>
      <c r="ENP159" s="54"/>
      <c r="ENQ159" s="54"/>
      <c r="ENR159" s="54"/>
      <c r="ENS159" s="58"/>
      <c r="ENT159" s="58"/>
      <c r="ENU159" s="58"/>
      <c r="ENV159" s="58"/>
      <c r="ENW159" s="59"/>
      <c r="ENX159" s="60"/>
      <c r="ENY159" s="54"/>
      <c r="ENZ159" s="54"/>
      <c r="EOA159" s="36"/>
      <c r="EOB159" s="55"/>
      <c r="EOC159" s="54"/>
      <c r="EOD159" s="56"/>
      <c r="EOE159" s="57"/>
      <c r="EOF159" s="54"/>
      <c r="EOG159" s="54"/>
      <c r="EOH159" s="54"/>
      <c r="EOI159" s="58"/>
      <c r="EOJ159" s="58"/>
      <c r="EOK159" s="58"/>
      <c r="EOL159" s="58"/>
      <c r="EOM159" s="59"/>
      <c r="EON159" s="60"/>
      <c r="EOO159" s="54"/>
      <c r="EOP159" s="54"/>
      <c r="EOQ159" s="36"/>
      <c r="EOR159" s="55"/>
      <c r="EOS159" s="54"/>
      <c r="EOT159" s="56"/>
      <c r="EOU159" s="57"/>
      <c r="EOV159" s="54"/>
      <c r="EOW159" s="54"/>
      <c r="EOX159" s="54"/>
      <c r="EOY159" s="58"/>
      <c r="EOZ159" s="58"/>
      <c r="EPA159" s="58"/>
      <c r="EPB159" s="58"/>
      <c r="EPC159" s="59"/>
      <c r="EPD159" s="60"/>
      <c r="EPE159" s="54"/>
      <c r="EPF159" s="54"/>
      <c r="EPG159" s="36"/>
      <c r="EPH159" s="55"/>
      <c r="EPI159" s="54"/>
      <c r="EPJ159" s="56"/>
      <c r="EPK159" s="57"/>
      <c r="EPL159" s="54"/>
      <c r="EPM159" s="54"/>
      <c r="EPN159" s="54"/>
      <c r="EPO159" s="58"/>
      <c r="EPP159" s="58"/>
      <c r="EPQ159" s="58"/>
      <c r="EPR159" s="58"/>
      <c r="EPS159" s="59"/>
      <c r="EPT159" s="60"/>
      <c r="EPU159" s="54"/>
      <c r="EPV159" s="54"/>
      <c r="EPW159" s="36"/>
      <c r="EPX159" s="55"/>
      <c r="EPY159" s="54"/>
      <c r="EPZ159" s="56"/>
      <c r="EQA159" s="57"/>
      <c r="EQB159" s="54"/>
      <c r="EQC159" s="54"/>
      <c r="EQD159" s="54"/>
      <c r="EQE159" s="58"/>
      <c r="EQF159" s="58"/>
      <c r="EQG159" s="58"/>
      <c r="EQH159" s="58"/>
      <c r="EQI159" s="59"/>
      <c r="EQJ159" s="60"/>
      <c r="EQK159" s="54"/>
      <c r="EQL159" s="54"/>
      <c r="EQM159" s="36"/>
      <c r="EQN159" s="55"/>
      <c r="EQO159" s="54"/>
      <c r="EQP159" s="56"/>
      <c r="EQQ159" s="57"/>
      <c r="EQR159" s="54"/>
      <c r="EQS159" s="54"/>
      <c r="EQT159" s="54"/>
      <c r="EQU159" s="58"/>
      <c r="EQV159" s="58"/>
      <c r="EQW159" s="58"/>
      <c r="EQX159" s="58"/>
      <c r="EQY159" s="59"/>
      <c r="EQZ159" s="60"/>
      <c r="ERA159" s="54"/>
      <c r="ERB159" s="54"/>
      <c r="ERC159" s="36"/>
      <c r="ERD159" s="55"/>
      <c r="ERE159" s="54"/>
      <c r="ERF159" s="56"/>
      <c r="ERG159" s="57"/>
      <c r="ERH159" s="54"/>
      <c r="ERI159" s="54"/>
      <c r="ERJ159" s="54"/>
      <c r="ERK159" s="58"/>
      <c r="ERL159" s="58"/>
      <c r="ERM159" s="58"/>
      <c r="ERN159" s="58"/>
      <c r="ERO159" s="59"/>
      <c r="ERP159" s="60"/>
      <c r="ERQ159" s="54"/>
      <c r="ERR159" s="54"/>
      <c r="ERS159" s="36"/>
      <c r="ERT159" s="55"/>
      <c r="ERU159" s="54"/>
      <c r="ERV159" s="56"/>
      <c r="ERW159" s="57"/>
      <c r="ERX159" s="54"/>
      <c r="ERY159" s="54"/>
      <c r="ERZ159" s="54"/>
      <c r="ESA159" s="58"/>
      <c r="ESB159" s="58"/>
      <c r="ESC159" s="58"/>
      <c r="ESD159" s="58"/>
      <c r="ESE159" s="59"/>
      <c r="ESF159" s="60"/>
      <c r="ESG159" s="54"/>
      <c r="ESH159" s="54"/>
      <c r="ESI159" s="36"/>
      <c r="ESJ159" s="55"/>
      <c r="ESK159" s="54"/>
      <c r="ESL159" s="56"/>
      <c r="ESM159" s="57"/>
      <c r="ESN159" s="54"/>
      <c r="ESO159" s="54"/>
      <c r="ESP159" s="54"/>
      <c r="ESQ159" s="58"/>
      <c r="ESR159" s="58"/>
      <c r="ESS159" s="58"/>
      <c r="EST159" s="58"/>
      <c r="ESU159" s="59"/>
      <c r="ESV159" s="60"/>
      <c r="ESW159" s="54"/>
      <c r="ESX159" s="54"/>
      <c r="ESY159" s="36"/>
      <c r="ESZ159" s="55"/>
      <c r="ETA159" s="54"/>
      <c r="ETB159" s="56"/>
      <c r="ETC159" s="57"/>
      <c r="ETD159" s="54"/>
      <c r="ETE159" s="54"/>
      <c r="ETF159" s="54"/>
      <c r="ETG159" s="58"/>
      <c r="ETH159" s="58"/>
      <c r="ETI159" s="58"/>
      <c r="ETJ159" s="58"/>
      <c r="ETK159" s="59"/>
      <c r="ETL159" s="60"/>
      <c r="ETM159" s="54"/>
      <c r="ETN159" s="54"/>
      <c r="ETO159" s="36"/>
      <c r="ETP159" s="55"/>
      <c r="ETQ159" s="54"/>
      <c r="ETR159" s="56"/>
      <c r="ETS159" s="57"/>
      <c r="ETT159" s="54"/>
      <c r="ETU159" s="54"/>
      <c r="ETV159" s="54"/>
      <c r="ETW159" s="58"/>
      <c r="ETX159" s="58"/>
      <c r="ETY159" s="58"/>
      <c r="ETZ159" s="58"/>
      <c r="EUA159" s="59"/>
      <c r="EUB159" s="60"/>
      <c r="EUC159" s="54"/>
      <c r="EUD159" s="54"/>
      <c r="EUE159" s="36"/>
      <c r="EUF159" s="55"/>
      <c r="EUG159" s="54"/>
      <c r="EUH159" s="56"/>
      <c r="EUI159" s="57"/>
      <c r="EUJ159" s="54"/>
      <c r="EUK159" s="54"/>
      <c r="EUL159" s="54"/>
      <c r="EUM159" s="58"/>
      <c r="EUN159" s="58"/>
      <c r="EUO159" s="58"/>
      <c r="EUP159" s="58"/>
      <c r="EUQ159" s="59"/>
      <c r="EUR159" s="60"/>
      <c r="EUS159" s="54"/>
      <c r="EUT159" s="54"/>
      <c r="EUU159" s="36"/>
      <c r="EUV159" s="55"/>
      <c r="EUW159" s="54"/>
      <c r="EUX159" s="56"/>
      <c r="EUY159" s="57"/>
      <c r="EUZ159" s="54"/>
      <c r="EVA159" s="54"/>
      <c r="EVB159" s="54"/>
      <c r="EVC159" s="58"/>
      <c r="EVD159" s="58"/>
      <c r="EVE159" s="58"/>
      <c r="EVF159" s="58"/>
      <c r="EVG159" s="59"/>
      <c r="EVH159" s="60"/>
      <c r="EVI159" s="54"/>
      <c r="EVJ159" s="54"/>
      <c r="EVK159" s="36"/>
      <c r="EVL159" s="55"/>
      <c r="EVM159" s="54"/>
      <c r="EVN159" s="56"/>
      <c r="EVO159" s="57"/>
      <c r="EVP159" s="54"/>
      <c r="EVQ159" s="54"/>
      <c r="EVR159" s="54"/>
      <c r="EVS159" s="58"/>
      <c r="EVT159" s="58"/>
      <c r="EVU159" s="58"/>
      <c r="EVV159" s="58"/>
      <c r="EVW159" s="59"/>
      <c r="EVX159" s="60"/>
      <c r="EVY159" s="54"/>
      <c r="EVZ159" s="54"/>
      <c r="EWA159" s="36"/>
      <c r="EWB159" s="55"/>
      <c r="EWC159" s="54"/>
      <c r="EWD159" s="56"/>
      <c r="EWE159" s="57"/>
      <c r="EWF159" s="54"/>
      <c r="EWG159" s="54"/>
      <c r="EWH159" s="54"/>
      <c r="EWI159" s="58"/>
      <c r="EWJ159" s="58"/>
      <c r="EWK159" s="58"/>
      <c r="EWL159" s="58"/>
      <c r="EWM159" s="59"/>
      <c r="EWN159" s="60"/>
      <c r="EWO159" s="54"/>
      <c r="EWP159" s="54"/>
      <c r="EWQ159" s="36"/>
      <c r="EWR159" s="55"/>
      <c r="EWS159" s="54"/>
      <c r="EWT159" s="56"/>
      <c r="EWU159" s="57"/>
      <c r="EWV159" s="54"/>
      <c r="EWW159" s="54"/>
      <c r="EWX159" s="54"/>
      <c r="EWY159" s="58"/>
      <c r="EWZ159" s="58"/>
      <c r="EXA159" s="58"/>
      <c r="EXB159" s="58"/>
      <c r="EXC159" s="59"/>
      <c r="EXD159" s="60"/>
      <c r="EXE159" s="54"/>
      <c r="EXF159" s="54"/>
      <c r="EXG159" s="36"/>
      <c r="EXH159" s="55"/>
      <c r="EXI159" s="54"/>
      <c r="EXJ159" s="56"/>
      <c r="EXK159" s="57"/>
      <c r="EXL159" s="54"/>
      <c r="EXM159" s="54"/>
      <c r="EXN159" s="54"/>
      <c r="EXO159" s="58"/>
      <c r="EXP159" s="58"/>
      <c r="EXQ159" s="58"/>
      <c r="EXR159" s="58"/>
      <c r="EXS159" s="59"/>
      <c r="EXT159" s="60"/>
      <c r="EXU159" s="54"/>
      <c r="EXV159" s="54"/>
      <c r="EXW159" s="36"/>
      <c r="EXX159" s="55"/>
      <c r="EXY159" s="54"/>
      <c r="EXZ159" s="56"/>
      <c r="EYA159" s="57"/>
      <c r="EYB159" s="54"/>
      <c r="EYC159" s="54"/>
      <c r="EYD159" s="54"/>
      <c r="EYE159" s="58"/>
      <c r="EYF159" s="58"/>
      <c r="EYG159" s="58"/>
      <c r="EYH159" s="58"/>
      <c r="EYI159" s="59"/>
      <c r="EYJ159" s="60"/>
      <c r="EYK159" s="54"/>
      <c r="EYL159" s="54"/>
      <c r="EYM159" s="36"/>
      <c r="EYN159" s="55"/>
      <c r="EYO159" s="54"/>
      <c r="EYP159" s="56"/>
      <c r="EYQ159" s="57"/>
      <c r="EYR159" s="54"/>
      <c r="EYS159" s="54"/>
      <c r="EYT159" s="54"/>
      <c r="EYU159" s="58"/>
      <c r="EYV159" s="58"/>
      <c r="EYW159" s="58"/>
      <c r="EYX159" s="58"/>
      <c r="EYY159" s="59"/>
      <c r="EYZ159" s="60"/>
      <c r="EZA159" s="54"/>
      <c r="EZB159" s="54"/>
      <c r="EZC159" s="36"/>
      <c r="EZD159" s="55"/>
      <c r="EZE159" s="54"/>
      <c r="EZF159" s="56"/>
      <c r="EZG159" s="57"/>
      <c r="EZH159" s="54"/>
      <c r="EZI159" s="54"/>
      <c r="EZJ159" s="54"/>
      <c r="EZK159" s="58"/>
      <c r="EZL159" s="58"/>
      <c r="EZM159" s="58"/>
      <c r="EZN159" s="58"/>
      <c r="EZO159" s="59"/>
      <c r="EZP159" s="60"/>
      <c r="EZQ159" s="54"/>
      <c r="EZR159" s="54"/>
      <c r="EZS159" s="36"/>
      <c r="EZT159" s="55"/>
      <c r="EZU159" s="54"/>
      <c r="EZV159" s="56"/>
      <c r="EZW159" s="57"/>
      <c r="EZX159" s="54"/>
      <c r="EZY159" s="54"/>
      <c r="EZZ159" s="54"/>
      <c r="FAA159" s="58"/>
      <c r="FAB159" s="58"/>
      <c r="FAC159" s="58"/>
      <c r="FAD159" s="58"/>
      <c r="FAE159" s="59"/>
      <c r="FAF159" s="60"/>
      <c r="FAG159" s="54"/>
      <c r="FAH159" s="54"/>
      <c r="FAI159" s="36"/>
      <c r="FAJ159" s="55"/>
      <c r="FAK159" s="54"/>
      <c r="FAL159" s="56"/>
      <c r="FAM159" s="57"/>
      <c r="FAN159" s="54"/>
      <c r="FAO159" s="54"/>
      <c r="FAP159" s="54"/>
      <c r="FAQ159" s="58"/>
      <c r="FAR159" s="58"/>
      <c r="FAS159" s="58"/>
      <c r="FAT159" s="58"/>
      <c r="FAU159" s="59"/>
      <c r="FAV159" s="60"/>
      <c r="FAW159" s="54"/>
      <c r="FAX159" s="54"/>
      <c r="FAY159" s="36"/>
      <c r="FAZ159" s="55"/>
      <c r="FBA159" s="54"/>
      <c r="FBB159" s="56"/>
      <c r="FBC159" s="57"/>
      <c r="FBD159" s="54"/>
      <c r="FBE159" s="54"/>
      <c r="FBF159" s="54"/>
      <c r="FBG159" s="58"/>
      <c r="FBH159" s="58"/>
      <c r="FBI159" s="58"/>
      <c r="FBJ159" s="58"/>
      <c r="FBK159" s="59"/>
      <c r="FBL159" s="60"/>
      <c r="FBM159" s="54"/>
      <c r="FBN159" s="54"/>
      <c r="FBO159" s="36"/>
      <c r="FBP159" s="55"/>
      <c r="FBQ159" s="54"/>
      <c r="FBR159" s="56"/>
      <c r="FBS159" s="57"/>
      <c r="FBT159" s="54"/>
      <c r="FBU159" s="54"/>
      <c r="FBV159" s="54"/>
      <c r="FBW159" s="58"/>
      <c r="FBX159" s="58"/>
      <c r="FBY159" s="58"/>
      <c r="FBZ159" s="58"/>
      <c r="FCA159" s="59"/>
      <c r="FCB159" s="60"/>
      <c r="FCC159" s="54"/>
      <c r="FCD159" s="54"/>
      <c r="FCE159" s="36"/>
      <c r="FCF159" s="55"/>
      <c r="FCG159" s="54"/>
      <c r="FCH159" s="56"/>
      <c r="FCI159" s="57"/>
      <c r="FCJ159" s="54"/>
      <c r="FCK159" s="54"/>
      <c r="FCL159" s="54"/>
      <c r="FCM159" s="58"/>
      <c r="FCN159" s="58"/>
      <c r="FCO159" s="58"/>
      <c r="FCP159" s="58"/>
      <c r="FCQ159" s="59"/>
      <c r="FCR159" s="60"/>
      <c r="FCS159" s="54"/>
      <c r="FCT159" s="54"/>
      <c r="FCU159" s="36"/>
      <c r="FCV159" s="55"/>
      <c r="FCW159" s="54"/>
      <c r="FCX159" s="56"/>
      <c r="FCY159" s="57"/>
      <c r="FCZ159" s="54"/>
      <c r="FDA159" s="54"/>
      <c r="FDB159" s="54"/>
      <c r="FDC159" s="58"/>
      <c r="FDD159" s="58"/>
      <c r="FDE159" s="58"/>
      <c r="FDF159" s="58"/>
      <c r="FDG159" s="59"/>
      <c r="FDH159" s="60"/>
      <c r="FDI159" s="54"/>
      <c r="FDJ159" s="54"/>
      <c r="FDK159" s="36"/>
      <c r="FDL159" s="55"/>
      <c r="FDM159" s="54"/>
      <c r="FDN159" s="56"/>
      <c r="FDO159" s="57"/>
      <c r="FDP159" s="54"/>
      <c r="FDQ159" s="54"/>
      <c r="FDR159" s="54"/>
      <c r="FDS159" s="58"/>
      <c r="FDT159" s="58"/>
      <c r="FDU159" s="58"/>
      <c r="FDV159" s="58"/>
      <c r="FDW159" s="59"/>
      <c r="FDX159" s="60"/>
      <c r="FDY159" s="54"/>
      <c r="FDZ159" s="54"/>
      <c r="FEA159" s="36"/>
      <c r="FEB159" s="55"/>
      <c r="FEC159" s="54"/>
      <c r="FED159" s="56"/>
      <c r="FEE159" s="57"/>
      <c r="FEF159" s="54"/>
      <c r="FEG159" s="54"/>
      <c r="FEH159" s="54"/>
      <c r="FEI159" s="58"/>
      <c r="FEJ159" s="58"/>
      <c r="FEK159" s="58"/>
      <c r="FEL159" s="58"/>
      <c r="FEM159" s="59"/>
      <c r="FEN159" s="60"/>
      <c r="FEO159" s="54"/>
      <c r="FEP159" s="54"/>
      <c r="FEQ159" s="36"/>
      <c r="FER159" s="55"/>
      <c r="FES159" s="54"/>
      <c r="FET159" s="56"/>
      <c r="FEU159" s="57"/>
      <c r="FEV159" s="54"/>
      <c r="FEW159" s="54"/>
      <c r="FEX159" s="54"/>
      <c r="FEY159" s="58"/>
      <c r="FEZ159" s="58"/>
      <c r="FFA159" s="58"/>
      <c r="FFB159" s="58"/>
      <c r="FFC159" s="59"/>
      <c r="FFD159" s="60"/>
      <c r="FFE159" s="54"/>
      <c r="FFF159" s="54"/>
      <c r="FFG159" s="36"/>
      <c r="FFH159" s="55"/>
      <c r="FFI159" s="54"/>
      <c r="FFJ159" s="56"/>
      <c r="FFK159" s="57"/>
      <c r="FFL159" s="54"/>
      <c r="FFM159" s="54"/>
      <c r="FFN159" s="54"/>
      <c r="FFO159" s="58"/>
      <c r="FFP159" s="58"/>
      <c r="FFQ159" s="58"/>
      <c r="FFR159" s="58"/>
      <c r="FFS159" s="59"/>
      <c r="FFT159" s="60"/>
      <c r="FFU159" s="54"/>
      <c r="FFV159" s="54"/>
      <c r="FFW159" s="36"/>
      <c r="FFX159" s="55"/>
      <c r="FFY159" s="54"/>
      <c r="FFZ159" s="56"/>
      <c r="FGA159" s="57"/>
      <c r="FGB159" s="54"/>
      <c r="FGC159" s="54"/>
      <c r="FGD159" s="54"/>
      <c r="FGE159" s="58"/>
      <c r="FGF159" s="58"/>
      <c r="FGG159" s="58"/>
      <c r="FGH159" s="58"/>
      <c r="FGI159" s="59"/>
      <c r="FGJ159" s="60"/>
      <c r="FGK159" s="54"/>
      <c r="FGL159" s="54"/>
      <c r="FGM159" s="36"/>
      <c r="FGN159" s="55"/>
      <c r="FGO159" s="54"/>
      <c r="FGP159" s="56"/>
      <c r="FGQ159" s="57"/>
      <c r="FGR159" s="54"/>
      <c r="FGS159" s="54"/>
      <c r="FGT159" s="54"/>
      <c r="FGU159" s="58"/>
      <c r="FGV159" s="58"/>
      <c r="FGW159" s="58"/>
      <c r="FGX159" s="58"/>
      <c r="FGY159" s="59"/>
      <c r="FGZ159" s="60"/>
      <c r="FHA159" s="54"/>
      <c r="FHB159" s="54"/>
      <c r="FHC159" s="36"/>
      <c r="FHD159" s="55"/>
      <c r="FHE159" s="54"/>
      <c r="FHF159" s="56"/>
      <c r="FHG159" s="57"/>
      <c r="FHH159" s="54"/>
      <c r="FHI159" s="54"/>
      <c r="FHJ159" s="54"/>
      <c r="FHK159" s="58"/>
      <c r="FHL159" s="58"/>
      <c r="FHM159" s="58"/>
      <c r="FHN159" s="58"/>
      <c r="FHO159" s="59"/>
      <c r="FHP159" s="60"/>
      <c r="FHQ159" s="54"/>
      <c r="FHR159" s="54"/>
      <c r="FHS159" s="36"/>
      <c r="FHT159" s="55"/>
      <c r="FHU159" s="54"/>
      <c r="FHV159" s="56"/>
      <c r="FHW159" s="57"/>
      <c r="FHX159" s="54"/>
      <c r="FHY159" s="54"/>
      <c r="FHZ159" s="54"/>
      <c r="FIA159" s="58"/>
      <c r="FIB159" s="58"/>
      <c r="FIC159" s="58"/>
      <c r="FID159" s="58"/>
      <c r="FIE159" s="59"/>
      <c r="FIF159" s="60"/>
      <c r="FIG159" s="54"/>
      <c r="FIH159" s="54"/>
      <c r="FII159" s="36"/>
      <c r="FIJ159" s="55"/>
      <c r="FIK159" s="54"/>
      <c r="FIL159" s="56"/>
      <c r="FIM159" s="57"/>
      <c r="FIN159" s="54"/>
      <c r="FIO159" s="54"/>
      <c r="FIP159" s="54"/>
      <c r="FIQ159" s="58"/>
      <c r="FIR159" s="58"/>
      <c r="FIS159" s="58"/>
      <c r="FIT159" s="58"/>
      <c r="FIU159" s="59"/>
      <c r="FIV159" s="60"/>
      <c r="FIW159" s="54"/>
      <c r="FIX159" s="54"/>
      <c r="FIY159" s="36"/>
      <c r="FIZ159" s="55"/>
      <c r="FJA159" s="54"/>
      <c r="FJB159" s="56"/>
      <c r="FJC159" s="57"/>
      <c r="FJD159" s="54"/>
      <c r="FJE159" s="54"/>
      <c r="FJF159" s="54"/>
      <c r="FJG159" s="58"/>
      <c r="FJH159" s="58"/>
      <c r="FJI159" s="58"/>
      <c r="FJJ159" s="58"/>
      <c r="FJK159" s="59"/>
      <c r="FJL159" s="60"/>
      <c r="FJM159" s="54"/>
      <c r="FJN159" s="54"/>
      <c r="FJO159" s="36"/>
      <c r="FJP159" s="55"/>
      <c r="FJQ159" s="54"/>
      <c r="FJR159" s="56"/>
      <c r="FJS159" s="57"/>
      <c r="FJT159" s="54"/>
      <c r="FJU159" s="54"/>
      <c r="FJV159" s="54"/>
      <c r="FJW159" s="58"/>
      <c r="FJX159" s="58"/>
      <c r="FJY159" s="58"/>
      <c r="FJZ159" s="58"/>
      <c r="FKA159" s="59"/>
      <c r="FKB159" s="60"/>
      <c r="FKC159" s="54"/>
      <c r="FKD159" s="54"/>
      <c r="FKE159" s="36"/>
      <c r="FKF159" s="55"/>
      <c r="FKG159" s="54"/>
      <c r="FKH159" s="56"/>
      <c r="FKI159" s="57"/>
      <c r="FKJ159" s="54"/>
      <c r="FKK159" s="54"/>
      <c r="FKL159" s="54"/>
      <c r="FKM159" s="58"/>
      <c r="FKN159" s="58"/>
      <c r="FKO159" s="58"/>
      <c r="FKP159" s="58"/>
      <c r="FKQ159" s="59"/>
      <c r="FKR159" s="60"/>
      <c r="FKS159" s="54"/>
      <c r="FKT159" s="54"/>
      <c r="FKU159" s="36"/>
      <c r="FKV159" s="55"/>
      <c r="FKW159" s="54"/>
      <c r="FKX159" s="56"/>
      <c r="FKY159" s="57"/>
      <c r="FKZ159" s="54"/>
      <c r="FLA159" s="54"/>
      <c r="FLB159" s="54"/>
      <c r="FLC159" s="58"/>
      <c r="FLD159" s="58"/>
      <c r="FLE159" s="58"/>
      <c r="FLF159" s="58"/>
      <c r="FLG159" s="59"/>
      <c r="FLH159" s="60"/>
      <c r="FLI159" s="54"/>
      <c r="FLJ159" s="54"/>
      <c r="FLK159" s="36"/>
      <c r="FLL159" s="55"/>
      <c r="FLM159" s="54"/>
      <c r="FLN159" s="56"/>
      <c r="FLO159" s="57"/>
      <c r="FLP159" s="54"/>
      <c r="FLQ159" s="54"/>
      <c r="FLR159" s="54"/>
      <c r="FLS159" s="58"/>
      <c r="FLT159" s="58"/>
      <c r="FLU159" s="58"/>
      <c r="FLV159" s="58"/>
      <c r="FLW159" s="59"/>
      <c r="FLX159" s="60"/>
      <c r="FLY159" s="54"/>
      <c r="FLZ159" s="54"/>
      <c r="FMA159" s="36"/>
      <c r="FMB159" s="55"/>
      <c r="FMC159" s="54"/>
      <c r="FMD159" s="56"/>
      <c r="FME159" s="57"/>
      <c r="FMF159" s="54"/>
      <c r="FMG159" s="54"/>
      <c r="FMH159" s="54"/>
      <c r="FMI159" s="58"/>
      <c r="FMJ159" s="58"/>
      <c r="FMK159" s="58"/>
      <c r="FML159" s="58"/>
      <c r="FMM159" s="59"/>
      <c r="FMN159" s="60"/>
      <c r="FMO159" s="54"/>
      <c r="FMP159" s="54"/>
      <c r="FMQ159" s="36"/>
      <c r="FMR159" s="55"/>
      <c r="FMS159" s="54"/>
      <c r="FMT159" s="56"/>
      <c r="FMU159" s="57"/>
      <c r="FMV159" s="54"/>
      <c r="FMW159" s="54"/>
      <c r="FMX159" s="54"/>
      <c r="FMY159" s="58"/>
      <c r="FMZ159" s="58"/>
      <c r="FNA159" s="58"/>
      <c r="FNB159" s="58"/>
      <c r="FNC159" s="59"/>
      <c r="FND159" s="60"/>
      <c r="FNE159" s="54"/>
      <c r="FNF159" s="54"/>
      <c r="FNG159" s="36"/>
      <c r="FNH159" s="55"/>
      <c r="FNI159" s="54"/>
      <c r="FNJ159" s="56"/>
      <c r="FNK159" s="57"/>
      <c r="FNL159" s="54"/>
      <c r="FNM159" s="54"/>
      <c r="FNN159" s="54"/>
      <c r="FNO159" s="58"/>
      <c r="FNP159" s="58"/>
      <c r="FNQ159" s="58"/>
      <c r="FNR159" s="58"/>
      <c r="FNS159" s="59"/>
      <c r="FNT159" s="60"/>
      <c r="FNU159" s="54"/>
      <c r="FNV159" s="54"/>
      <c r="FNW159" s="36"/>
      <c r="FNX159" s="55"/>
      <c r="FNY159" s="54"/>
      <c r="FNZ159" s="56"/>
      <c r="FOA159" s="57"/>
      <c r="FOB159" s="54"/>
      <c r="FOC159" s="54"/>
      <c r="FOD159" s="54"/>
      <c r="FOE159" s="58"/>
      <c r="FOF159" s="58"/>
      <c r="FOG159" s="58"/>
      <c r="FOH159" s="58"/>
      <c r="FOI159" s="59"/>
      <c r="FOJ159" s="60"/>
      <c r="FOK159" s="54"/>
      <c r="FOL159" s="54"/>
      <c r="FOM159" s="36"/>
      <c r="FON159" s="55"/>
      <c r="FOO159" s="54"/>
      <c r="FOP159" s="56"/>
      <c r="FOQ159" s="57"/>
      <c r="FOR159" s="54"/>
      <c r="FOS159" s="54"/>
      <c r="FOT159" s="54"/>
      <c r="FOU159" s="58"/>
      <c r="FOV159" s="58"/>
      <c r="FOW159" s="58"/>
      <c r="FOX159" s="58"/>
      <c r="FOY159" s="59"/>
      <c r="FOZ159" s="60"/>
      <c r="FPA159" s="54"/>
      <c r="FPB159" s="54"/>
      <c r="FPC159" s="36"/>
      <c r="FPD159" s="55"/>
      <c r="FPE159" s="54"/>
      <c r="FPF159" s="56"/>
      <c r="FPG159" s="57"/>
      <c r="FPH159" s="54"/>
      <c r="FPI159" s="54"/>
      <c r="FPJ159" s="54"/>
      <c r="FPK159" s="58"/>
      <c r="FPL159" s="58"/>
      <c r="FPM159" s="58"/>
      <c r="FPN159" s="58"/>
      <c r="FPO159" s="59"/>
      <c r="FPP159" s="60"/>
      <c r="FPQ159" s="54"/>
      <c r="FPR159" s="54"/>
      <c r="FPS159" s="36"/>
      <c r="FPT159" s="55"/>
      <c r="FPU159" s="54"/>
      <c r="FPV159" s="56"/>
      <c r="FPW159" s="57"/>
      <c r="FPX159" s="54"/>
      <c r="FPY159" s="54"/>
      <c r="FPZ159" s="54"/>
      <c r="FQA159" s="58"/>
      <c r="FQB159" s="58"/>
      <c r="FQC159" s="58"/>
      <c r="FQD159" s="58"/>
      <c r="FQE159" s="59"/>
      <c r="FQF159" s="60"/>
      <c r="FQG159" s="54"/>
      <c r="FQH159" s="54"/>
      <c r="FQI159" s="36"/>
      <c r="FQJ159" s="55"/>
      <c r="FQK159" s="54"/>
      <c r="FQL159" s="56"/>
      <c r="FQM159" s="57"/>
      <c r="FQN159" s="54"/>
      <c r="FQO159" s="54"/>
      <c r="FQP159" s="54"/>
      <c r="FQQ159" s="58"/>
      <c r="FQR159" s="58"/>
      <c r="FQS159" s="58"/>
      <c r="FQT159" s="58"/>
      <c r="FQU159" s="59"/>
      <c r="FQV159" s="60"/>
      <c r="FQW159" s="54"/>
      <c r="FQX159" s="54"/>
      <c r="FQY159" s="36"/>
      <c r="FQZ159" s="55"/>
      <c r="FRA159" s="54"/>
      <c r="FRB159" s="56"/>
      <c r="FRC159" s="57"/>
      <c r="FRD159" s="54"/>
      <c r="FRE159" s="54"/>
      <c r="FRF159" s="54"/>
      <c r="FRG159" s="58"/>
      <c r="FRH159" s="58"/>
      <c r="FRI159" s="58"/>
      <c r="FRJ159" s="58"/>
      <c r="FRK159" s="59"/>
      <c r="FRL159" s="60"/>
      <c r="FRM159" s="54"/>
      <c r="FRN159" s="54"/>
      <c r="FRO159" s="36"/>
      <c r="FRP159" s="55"/>
      <c r="FRQ159" s="54"/>
      <c r="FRR159" s="56"/>
      <c r="FRS159" s="57"/>
      <c r="FRT159" s="54"/>
      <c r="FRU159" s="54"/>
      <c r="FRV159" s="54"/>
      <c r="FRW159" s="58"/>
      <c r="FRX159" s="58"/>
      <c r="FRY159" s="58"/>
      <c r="FRZ159" s="58"/>
      <c r="FSA159" s="59"/>
      <c r="FSB159" s="60"/>
      <c r="FSC159" s="54"/>
      <c r="FSD159" s="54"/>
      <c r="FSE159" s="36"/>
      <c r="FSF159" s="55"/>
      <c r="FSG159" s="54"/>
      <c r="FSH159" s="56"/>
      <c r="FSI159" s="57"/>
      <c r="FSJ159" s="54"/>
      <c r="FSK159" s="54"/>
      <c r="FSL159" s="54"/>
      <c r="FSM159" s="58"/>
      <c r="FSN159" s="58"/>
      <c r="FSO159" s="58"/>
      <c r="FSP159" s="58"/>
      <c r="FSQ159" s="59"/>
      <c r="FSR159" s="60"/>
      <c r="FSS159" s="54"/>
      <c r="FST159" s="54"/>
      <c r="FSU159" s="36"/>
      <c r="FSV159" s="55"/>
      <c r="FSW159" s="54"/>
      <c r="FSX159" s="56"/>
      <c r="FSY159" s="57"/>
      <c r="FSZ159" s="54"/>
      <c r="FTA159" s="54"/>
      <c r="FTB159" s="54"/>
      <c r="FTC159" s="58"/>
      <c r="FTD159" s="58"/>
      <c r="FTE159" s="58"/>
      <c r="FTF159" s="58"/>
      <c r="FTG159" s="59"/>
      <c r="FTH159" s="60"/>
      <c r="FTI159" s="54"/>
      <c r="FTJ159" s="54"/>
      <c r="FTK159" s="36"/>
      <c r="FTL159" s="55"/>
      <c r="FTM159" s="54"/>
      <c r="FTN159" s="56"/>
      <c r="FTO159" s="57"/>
      <c r="FTP159" s="54"/>
      <c r="FTQ159" s="54"/>
      <c r="FTR159" s="54"/>
      <c r="FTS159" s="58"/>
      <c r="FTT159" s="58"/>
      <c r="FTU159" s="58"/>
      <c r="FTV159" s="58"/>
      <c r="FTW159" s="59"/>
      <c r="FTX159" s="60"/>
      <c r="FTY159" s="54"/>
      <c r="FTZ159" s="54"/>
      <c r="FUA159" s="36"/>
      <c r="FUB159" s="55"/>
      <c r="FUC159" s="54"/>
      <c r="FUD159" s="56"/>
      <c r="FUE159" s="57"/>
      <c r="FUF159" s="54"/>
      <c r="FUG159" s="54"/>
      <c r="FUH159" s="54"/>
      <c r="FUI159" s="58"/>
      <c r="FUJ159" s="58"/>
      <c r="FUK159" s="58"/>
      <c r="FUL159" s="58"/>
      <c r="FUM159" s="59"/>
      <c r="FUN159" s="60"/>
      <c r="FUO159" s="54"/>
      <c r="FUP159" s="54"/>
      <c r="FUQ159" s="36"/>
      <c r="FUR159" s="55"/>
      <c r="FUS159" s="54"/>
      <c r="FUT159" s="56"/>
      <c r="FUU159" s="57"/>
      <c r="FUV159" s="54"/>
      <c r="FUW159" s="54"/>
      <c r="FUX159" s="54"/>
      <c r="FUY159" s="58"/>
      <c r="FUZ159" s="58"/>
      <c r="FVA159" s="58"/>
      <c r="FVB159" s="58"/>
      <c r="FVC159" s="59"/>
      <c r="FVD159" s="60"/>
      <c r="FVE159" s="54"/>
      <c r="FVF159" s="54"/>
      <c r="FVG159" s="36"/>
      <c r="FVH159" s="55"/>
      <c r="FVI159" s="54"/>
      <c r="FVJ159" s="56"/>
      <c r="FVK159" s="57"/>
      <c r="FVL159" s="54"/>
      <c r="FVM159" s="54"/>
      <c r="FVN159" s="54"/>
      <c r="FVO159" s="58"/>
      <c r="FVP159" s="58"/>
      <c r="FVQ159" s="58"/>
      <c r="FVR159" s="58"/>
      <c r="FVS159" s="59"/>
      <c r="FVT159" s="60"/>
      <c r="FVU159" s="54"/>
      <c r="FVV159" s="54"/>
      <c r="FVW159" s="36"/>
      <c r="FVX159" s="55"/>
      <c r="FVY159" s="54"/>
      <c r="FVZ159" s="56"/>
      <c r="FWA159" s="57"/>
      <c r="FWB159" s="54"/>
      <c r="FWC159" s="54"/>
      <c r="FWD159" s="54"/>
      <c r="FWE159" s="58"/>
      <c r="FWF159" s="58"/>
      <c r="FWG159" s="58"/>
      <c r="FWH159" s="58"/>
      <c r="FWI159" s="59"/>
      <c r="FWJ159" s="60"/>
      <c r="FWK159" s="54"/>
      <c r="FWL159" s="54"/>
      <c r="FWM159" s="36"/>
      <c r="FWN159" s="55"/>
      <c r="FWO159" s="54"/>
      <c r="FWP159" s="56"/>
      <c r="FWQ159" s="57"/>
      <c r="FWR159" s="54"/>
      <c r="FWS159" s="54"/>
      <c r="FWT159" s="54"/>
      <c r="FWU159" s="58"/>
      <c r="FWV159" s="58"/>
      <c r="FWW159" s="58"/>
      <c r="FWX159" s="58"/>
      <c r="FWY159" s="59"/>
      <c r="FWZ159" s="60"/>
      <c r="FXA159" s="54"/>
      <c r="FXB159" s="54"/>
      <c r="FXC159" s="36"/>
      <c r="FXD159" s="55"/>
      <c r="FXE159" s="54"/>
      <c r="FXF159" s="56"/>
      <c r="FXG159" s="57"/>
      <c r="FXH159" s="54"/>
      <c r="FXI159" s="54"/>
      <c r="FXJ159" s="54"/>
      <c r="FXK159" s="58"/>
      <c r="FXL159" s="58"/>
      <c r="FXM159" s="58"/>
      <c r="FXN159" s="58"/>
      <c r="FXO159" s="59"/>
      <c r="FXP159" s="60"/>
      <c r="FXQ159" s="54"/>
      <c r="FXR159" s="54"/>
      <c r="FXS159" s="36"/>
      <c r="FXT159" s="55"/>
      <c r="FXU159" s="54"/>
      <c r="FXV159" s="56"/>
      <c r="FXW159" s="57"/>
      <c r="FXX159" s="54"/>
      <c r="FXY159" s="54"/>
      <c r="FXZ159" s="54"/>
      <c r="FYA159" s="58"/>
      <c r="FYB159" s="58"/>
      <c r="FYC159" s="58"/>
      <c r="FYD159" s="58"/>
      <c r="FYE159" s="59"/>
      <c r="FYF159" s="60"/>
      <c r="FYG159" s="54"/>
      <c r="FYH159" s="54"/>
      <c r="FYI159" s="36"/>
      <c r="FYJ159" s="55"/>
      <c r="FYK159" s="54"/>
      <c r="FYL159" s="56"/>
      <c r="FYM159" s="57"/>
      <c r="FYN159" s="54"/>
      <c r="FYO159" s="54"/>
      <c r="FYP159" s="54"/>
      <c r="FYQ159" s="58"/>
      <c r="FYR159" s="58"/>
      <c r="FYS159" s="58"/>
      <c r="FYT159" s="58"/>
      <c r="FYU159" s="59"/>
      <c r="FYV159" s="60"/>
      <c r="FYW159" s="54"/>
      <c r="FYX159" s="54"/>
      <c r="FYY159" s="36"/>
      <c r="FYZ159" s="55"/>
      <c r="FZA159" s="54"/>
      <c r="FZB159" s="56"/>
      <c r="FZC159" s="57"/>
      <c r="FZD159" s="54"/>
      <c r="FZE159" s="54"/>
      <c r="FZF159" s="54"/>
      <c r="FZG159" s="58"/>
      <c r="FZH159" s="58"/>
      <c r="FZI159" s="58"/>
      <c r="FZJ159" s="58"/>
      <c r="FZK159" s="59"/>
      <c r="FZL159" s="60"/>
      <c r="FZM159" s="54"/>
      <c r="FZN159" s="54"/>
      <c r="FZO159" s="36"/>
      <c r="FZP159" s="55"/>
      <c r="FZQ159" s="54"/>
      <c r="FZR159" s="56"/>
      <c r="FZS159" s="57"/>
      <c r="FZT159" s="54"/>
      <c r="FZU159" s="54"/>
      <c r="FZV159" s="54"/>
      <c r="FZW159" s="58"/>
      <c r="FZX159" s="58"/>
      <c r="FZY159" s="58"/>
      <c r="FZZ159" s="58"/>
      <c r="GAA159" s="59"/>
      <c r="GAB159" s="60"/>
      <c r="GAC159" s="54"/>
      <c r="GAD159" s="54"/>
      <c r="GAE159" s="36"/>
      <c r="GAF159" s="55"/>
      <c r="GAG159" s="54"/>
      <c r="GAH159" s="56"/>
      <c r="GAI159" s="57"/>
      <c r="GAJ159" s="54"/>
      <c r="GAK159" s="54"/>
      <c r="GAL159" s="54"/>
      <c r="GAM159" s="58"/>
      <c r="GAN159" s="58"/>
      <c r="GAO159" s="58"/>
      <c r="GAP159" s="58"/>
      <c r="GAQ159" s="59"/>
      <c r="GAR159" s="60"/>
      <c r="GAS159" s="54"/>
      <c r="GAT159" s="54"/>
      <c r="GAU159" s="36"/>
      <c r="GAV159" s="55"/>
      <c r="GAW159" s="54"/>
      <c r="GAX159" s="56"/>
      <c r="GAY159" s="57"/>
      <c r="GAZ159" s="54"/>
      <c r="GBA159" s="54"/>
      <c r="GBB159" s="54"/>
      <c r="GBC159" s="58"/>
      <c r="GBD159" s="58"/>
      <c r="GBE159" s="58"/>
      <c r="GBF159" s="58"/>
      <c r="GBG159" s="59"/>
      <c r="GBH159" s="60"/>
      <c r="GBI159" s="54"/>
      <c r="GBJ159" s="54"/>
      <c r="GBK159" s="36"/>
      <c r="GBL159" s="55"/>
      <c r="GBM159" s="54"/>
      <c r="GBN159" s="56"/>
      <c r="GBO159" s="57"/>
      <c r="GBP159" s="54"/>
      <c r="GBQ159" s="54"/>
      <c r="GBR159" s="54"/>
      <c r="GBS159" s="58"/>
      <c r="GBT159" s="58"/>
      <c r="GBU159" s="58"/>
      <c r="GBV159" s="58"/>
      <c r="GBW159" s="59"/>
      <c r="GBX159" s="60"/>
      <c r="GBY159" s="54"/>
      <c r="GBZ159" s="54"/>
      <c r="GCA159" s="36"/>
      <c r="GCB159" s="55"/>
      <c r="GCC159" s="54"/>
      <c r="GCD159" s="56"/>
      <c r="GCE159" s="57"/>
      <c r="GCF159" s="54"/>
      <c r="GCG159" s="54"/>
      <c r="GCH159" s="54"/>
      <c r="GCI159" s="58"/>
      <c r="GCJ159" s="58"/>
      <c r="GCK159" s="58"/>
      <c r="GCL159" s="58"/>
      <c r="GCM159" s="59"/>
      <c r="GCN159" s="60"/>
      <c r="GCO159" s="54"/>
      <c r="GCP159" s="54"/>
      <c r="GCQ159" s="36"/>
      <c r="GCR159" s="55"/>
      <c r="GCS159" s="54"/>
      <c r="GCT159" s="56"/>
      <c r="GCU159" s="57"/>
      <c r="GCV159" s="54"/>
      <c r="GCW159" s="54"/>
      <c r="GCX159" s="54"/>
      <c r="GCY159" s="58"/>
      <c r="GCZ159" s="58"/>
      <c r="GDA159" s="58"/>
      <c r="GDB159" s="58"/>
      <c r="GDC159" s="59"/>
      <c r="GDD159" s="60"/>
      <c r="GDE159" s="54"/>
      <c r="GDF159" s="54"/>
      <c r="GDG159" s="36"/>
      <c r="GDH159" s="55"/>
      <c r="GDI159" s="54"/>
      <c r="GDJ159" s="56"/>
      <c r="GDK159" s="57"/>
      <c r="GDL159" s="54"/>
      <c r="GDM159" s="54"/>
      <c r="GDN159" s="54"/>
      <c r="GDO159" s="58"/>
      <c r="GDP159" s="58"/>
      <c r="GDQ159" s="58"/>
      <c r="GDR159" s="58"/>
      <c r="GDS159" s="59"/>
      <c r="GDT159" s="60"/>
      <c r="GDU159" s="54"/>
      <c r="GDV159" s="54"/>
      <c r="GDW159" s="36"/>
      <c r="GDX159" s="55"/>
      <c r="GDY159" s="54"/>
      <c r="GDZ159" s="56"/>
      <c r="GEA159" s="57"/>
      <c r="GEB159" s="54"/>
      <c r="GEC159" s="54"/>
      <c r="GED159" s="54"/>
      <c r="GEE159" s="58"/>
      <c r="GEF159" s="58"/>
      <c r="GEG159" s="58"/>
      <c r="GEH159" s="58"/>
      <c r="GEI159" s="59"/>
      <c r="GEJ159" s="60"/>
      <c r="GEK159" s="54"/>
      <c r="GEL159" s="54"/>
      <c r="GEM159" s="36"/>
      <c r="GEN159" s="55"/>
      <c r="GEO159" s="54"/>
      <c r="GEP159" s="56"/>
      <c r="GEQ159" s="57"/>
      <c r="GER159" s="54"/>
      <c r="GES159" s="54"/>
      <c r="GET159" s="54"/>
      <c r="GEU159" s="58"/>
      <c r="GEV159" s="58"/>
      <c r="GEW159" s="58"/>
      <c r="GEX159" s="58"/>
      <c r="GEY159" s="59"/>
      <c r="GEZ159" s="60"/>
      <c r="GFA159" s="54"/>
      <c r="GFB159" s="54"/>
      <c r="GFC159" s="36"/>
      <c r="GFD159" s="55"/>
      <c r="GFE159" s="54"/>
      <c r="GFF159" s="56"/>
      <c r="GFG159" s="57"/>
      <c r="GFH159" s="54"/>
      <c r="GFI159" s="54"/>
      <c r="GFJ159" s="54"/>
      <c r="GFK159" s="58"/>
      <c r="GFL159" s="58"/>
      <c r="GFM159" s="58"/>
      <c r="GFN159" s="58"/>
      <c r="GFO159" s="59"/>
      <c r="GFP159" s="60"/>
      <c r="GFQ159" s="54"/>
      <c r="GFR159" s="54"/>
      <c r="GFS159" s="36"/>
      <c r="GFT159" s="55"/>
      <c r="GFU159" s="54"/>
      <c r="GFV159" s="56"/>
      <c r="GFW159" s="57"/>
      <c r="GFX159" s="54"/>
      <c r="GFY159" s="54"/>
      <c r="GFZ159" s="54"/>
      <c r="GGA159" s="58"/>
      <c r="GGB159" s="58"/>
      <c r="GGC159" s="58"/>
      <c r="GGD159" s="58"/>
      <c r="GGE159" s="59"/>
      <c r="GGF159" s="60"/>
      <c r="GGG159" s="54"/>
      <c r="GGH159" s="54"/>
      <c r="GGI159" s="36"/>
      <c r="GGJ159" s="55"/>
      <c r="GGK159" s="54"/>
      <c r="GGL159" s="56"/>
      <c r="GGM159" s="57"/>
      <c r="GGN159" s="54"/>
      <c r="GGO159" s="54"/>
      <c r="GGP159" s="54"/>
      <c r="GGQ159" s="58"/>
      <c r="GGR159" s="58"/>
      <c r="GGS159" s="58"/>
      <c r="GGT159" s="58"/>
      <c r="GGU159" s="59"/>
      <c r="GGV159" s="60"/>
      <c r="GGW159" s="54"/>
      <c r="GGX159" s="54"/>
      <c r="GGY159" s="36"/>
      <c r="GGZ159" s="55"/>
      <c r="GHA159" s="54"/>
      <c r="GHB159" s="56"/>
      <c r="GHC159" s="57"/>
      <c r="GHD159" s="54"/>
      <c r="GHE159" s="54"/>
      <c r="GHF159" s="54"/>
      <c r="GHG159" s="58"/>
      <c r="GHH159" s="58"/>
      <c r="GHI159" s="58"/>
      <c r="GHJ159" s="58"/>
      <c r="GHK159" s="59"/>
      <c r="GHL159" s="60"/>
      <c r="GHM159" s="54"/>
      <c r="GHN159" s="54"/>
      <c r="GHO159" s="36"/>
      <c r="GHP159" s="55"/>
      <c r="GHQ159" s="54"/>
      <c r="GHR159" s="56"/>
      <c r="GHS159" s="57"/>
      <c r="GHT159" s="54"/>
      <c r="GHU159" s="54"/>
      <c r="GHV159" s="54"/>
      <c r="GHW159" s="58"/>
      <c r="GHX159" s="58"/>
      <c r="GHY159" s="58"/>
      <c r="GHZ159" s="58"/>
      <c r="GIA159" s="59"/>
      <c r="GIB159" s="60"/>
      <c r="GIC159" s="54"/>
      <c r="GID159" s="54"/>
      <c r="GIE159" s="36"/>
      <c r="GIF159" s="55"/>
      <c r="GIG159" s="54"/>
      <c r="GIH159" s="56"/>
      <c r="GII159" s="57"/>
      <c r="GIJ159" s="54"/>
      <c r="GIK159" s="54"/>
      <c r="GIL159" s="54"/>
      <c r="GIM159" s="58"/>
      <c r="GIN159" s="58"/>
      <c r="GIO159" s="58"/>
      <c r="GIP159" s="58"/>
      <c r="GIQ159" s="59"/>
      <c r="GIR159" s="60"/>
      <c r="GIS159" s="54"/>
      <c r="GIT159" s="54"/>
      <c r="GIU159" s="36"/>
      <c r="GIV159" s="55"/>
      <c r="GIW159" s="54"/>
      <c r="GIX159" s="56"/>
      <c r="GIY159" s="57"/>
      <c r="GIZ159" s="54"/>
      <c r="GJA159" s="54"/>
      <c r="GJB159" s="54"/>
      <c r="GJC159" s="58"/>
      <c r="GJD159" s="58"/>
      <c r="GJE159" s="58"/>
      <c r="GJF159" s="58"/>
      <c r="GJG159" s="59"/>
      <c r="GJH159" s="60"/>
      <c r="GJI159" s="54"/>
      <c r="GJJ159" s="54"/>
      <c r="GJK159" s="36"/>
      <c r="GJL159" s="55"/>
      <c r="GJM159" s="54"/>
      <c r="GJN159" s="56"/>
      <c r="GJO159" s="57"/>
      <c r="GJP159" s="54"/>
      <c r="GJQ159" s="54"/>
      <c r="GJR159" s="54"/>
      <c r="GJS159" s="58"/>
      <c r="GJT159" s="58"/>
      <c r="GJU159" s="58"/>
      <c r="GJV159" s="58"/>
      <c r="GJW159" s="59"/>
      <c r="GJX159" s="60"/>
      <c r="GJY159" s="54"/>
      <c r="GJZ159" s="54"/>
      <c r="GKA159" s="36"/>
      <c r="GKB159" s="55"/>
      <c r="GKC159" s="54"/>
      <c r="GKD159" s="56"/>
      <c r="GKE159" s="57"/>
      <c r="GKF159" s="54"/>
      <c r="GKG159" s="54"/>
      <c r="GKH159" s="54"/>
      <c r="GKI159" s="58"/>
      <c r="GKJ159" s="58"/>
      <c r="GKK159" s="58"/>
      <c r="GKL159" s="58"/>
      <c r="GKM159" s="59"/>
      <c r="GKN159" s="60"/>
      <c r="GKO159" s="54"/>
      <c r="GKP159" s="54"/>
      <c r="GKQ159" s="36"/>
      <c r="GKR159" s="55"/>
      <c r="GKS159" s="54"/>
      <c r="GKT159" s="56"/>
      <c r="GKU159" s="57"/>
      <c r="GKV159" s="54"/>
      <c r="GKW159" s="54"/>
      <c r="GKX159" s="54"/>
      <c r="GKY159" s="58"/>
      <c r="GKZ159" s="58"/>
      <c r="GLA159" s="58"/>
      <c r="GLB159" s="58"/>
      <c r="GLC159" s="59"/>
      <c r="GLD159" s="60"/>
      <c r="GLE159" s="54"/>
      <c r="GLF159" s="54"/>
      <c r="GLG159" s="36"/>
      <c r="GLH159" s="55"/>
      <c r="GLI159" s="54"/>
      <c r="GLJ159" s="56"/>
      <c r="GLK159" s="57"/>
      <c r="GLL159" s="54"/>
      <c r="GLM159" s="54"/>
      <c r="GLN159" s="54"/>
      <c r="GLO159" s="58"/>
      <c r="GLP159" s="58"/>
      <c r="GLQ159" s="58"/>
      <c r="GLR159" s="58"/>
      <c r="GLS159" s="59"/>
      <c r="GLT159" s="60"/>
      <c r="GLU159" s="54"/>
      <c r="GLV159" s="54"/>
      <c r="GLW159" s="36"/>
      <c r="GLX159" s="55"/>
      <c r="GLY159" s="54"/>
      <c r="GLZ159" s="56"/>
      <c r="GMA159" s="57"/>
      <c r="GMB159" s="54"/>
      <c r="GMC159" s="54"/>
      <c r="GMD159" s="54"/>
      <c r="GME159" s="58"/>
      <c r="GMF159" s="58"/>
      <c r="GMG159" s="58"/>
      <c r="GMH159" s="58"/>
      <c r="GMI159" s="59"/>
      <c r="GMJ159" s="60"/>
      <c r="GMK159" s="54"/>
      <c r="GML159" s="54"/>
      <c r="GMM159" s="36"/>
      <c r="GMN159" s="55"/>
      <c r="GMO159" s="54"/>
      <c r="GMP159" s="56"/>
      <c r="GMQ159" s="57"/>
      <c r="GMR159" s="54"/>
      <c r="GMS159" s="54"/>
      <c r="GMT159" s="54"/>
      <c r="GMU159" s="58"/>
      <c r="GMV159" s="58"/>
      <c r="GMW159" s="58"/>
      <c r="GMX159" s="58"/>
      <c r="GMY159" s="59"/>
      <c r="GMZ159" s="60"/>
      <c r="GNA159" s="54"/>
      <c r="GNB159" s="54"/>
      <c r="GNC159" s="36"/>
      <c r="GND159" s="55"/>
      <c r="GNE159" s="54"/>
      <c r="GNF159" s="56"/>
      <c r="GNG159" s="57"/>
      <c r="GNH159" s="54"/>
      <c r="GNI159" s="54"/>
      <c r="GNJ159" s="54"/>
      <c r="GNK159" s="58"/>
      <c r="GNL159" s="58"/>
      <c r="GNM159" s="58"/>
      <c r="GNN159" s="58"/>
      <c r="GNO159" s="59"/>
      <c r="GNP159" s="60"/>
      <c r="GNQ159" s="54"/>
      <c r="GNR159" s="54"/>
      <c r="GNS159" s="36"/>
      <c r="GNT159" s="55"/>
      <c r="GNU159" s="54"/>
      <c r="GNV159" s="56"/>
      <c r="GNW159" s="57"/>
      <c r="GNX159" s="54"/>
      <c r="GNY159" s="54"/>
      <c r="GNZ159" s="54"/>
      <c r="GOA159" s="58"/>
      <c r="GOB159" s="58"/>
      <c r="GOC159" s="58"/>
      <c r="GOD159" s="58"/>
      <c r="GOE159" s="59"/>
      <c r="GOF159" s="60"/>
      <c r="GOG159" s="54"/>
      <c r="GOH159" s="54"/>
      <c r="GOI159" s="36"/>
      <c r="GOJ159" s="55"/>
      <c r="GOK159" s="54"/>
      <c r="GOL159" s="56"/>
      <c r="GOM159" s="57"/>
      <c r="GON159" s="54"/>
      <c r="GOO159" s="54"/>
      <c r="GOP159" s="54"/>
      <c r="GOQ159" s="58"/>
      <c r="GOR159" s="58"/>
      <c r="GOS159" s="58"/>
      <c r="GOT159" s="58"/>
      <c r="GOU159" s="59"/>
      <c r="GOV159" s="60"/>
      <c r="GOW159" s="54"/>
      <c r="GOX159" s="54"/>
      <c r="GOY159" s="36"/>
      <c r="GOZ159" s="55"/>
      <c r="GPA159" s="54"/>
      <c r="GPB159" s="56"/>
      <c r="GPC159" s="57"/>
      <c r="GPD159" s="54"/>
      <c r="GPE159" s="54"/>
      <c r="GPF159" s="54"/>
      <c r="GPG159" s="58"/>
      <c r="GPH159" s="58"/>
      <c r="GPI159" s="58"/>
      <c r="GPJ159" s="58"/>
      <c r="GPK159" s="59"/>
      <c r="GPL159" s="60"/>
      <c r="GPM159" s="54"/>
      <c r="GPN159" s="54"/>
      <c r="GPO159" s="36"/>
      <c r="GPP159" s="55"/>
      <c r="GPQ159" s="54"/>
      <c r="GPR159" s="56"/>
      <c r="GPS159" s="57"/>
      <c r="GPT159" s="54"/>
      <c r="GPU159" s="54"/>
      <c r="GPV159" s="54"/>
      <c r="GPW159" s="58"/>
      <c r="GPX159" s="58"/>
      <c r="GPY159" s="58"/>
      <c r="GPZ159" s="58"/>
      <c r="GQA159" s="59"/>
      <c r="GQB159" s="60"/>
      <c r="GQC159" s="54"/>
      <c r="GQD159" s="54"/>
      <c r="GQE159" s="36"/>
      <c r="GQF159" s="55"/>
      <c r="GQG159" s="54"/>
      <c r="GQH159" s="56"/>
      <c r="GQI159" s="57"/>
      <c r="GQJ159" s="54"/>
      <c r="GQK159" s="54"/>
      <c r="GQL159" s="54"/>
      <c r="GQM159" s="58"/>
      <c r="GQN159" s="58"/>
      <c r="GQO159" s="58"/>
      <c r="GQP159" s="58"/>
      <c r="GQQ159" s="59"/>
      <c r="GQR159" s="60"/>
      <c r="GQS159" s="54"/>
      <c r="GQT159" s="54"/>
      <c r="GQU159" s="36"/>
      <c r="GQV159" s="55"/>
      <c r="GQW159" s="54"/>
      <c r="GQX159" s="56"/>
      <c r="GQY159" s="57"/>
      <c r="GQZ159" s="54"/>
      <c r="GRA159" s="54"/>
      <c r="GRB159" s="54"/>
      <c r="GRC159" s="58"/>
      <c r="GRD159" s="58"/>
      <c r="GRE159" s="58"/>
      <c r="GRF159" s="58"/>
      <c r="GRG159" s="59"/>
      <c r="GRH159" s="60"/>
      <c r="GRI159" s="54"/>
      <c r="GRJ159" s="54"/>
      <c r="GRK159" s="36"/>
      <c r="GRL159" s="55"/>
      <c r="GRM159" s="54"/>
      <c r="GRN159" s="56"/>
      <c r="GRO159" s="57"/>
      <c r="GRP159" s="54"/>
      <c r="GRQ159" s="54"/>
      <c r="GRR159" s="54"/>
      <c r="GRS159" s="58"/>
      <c r="GRT159" s="58"/>
      <c r="GRU159" s="58"/>
      <c r="GRV159" s="58"/>
      <c r="GRW159" s="59"/>
      <c r="GRX159" s="60"/>
      <c r="GRY159" s="54"/>
      <c r="GRZ159" s="54"/>
      <c r="GSA159" s="36"/>
      <c r="GSB159" s="55"/>
      <c r="GSC159" s="54"/>
      <c r="GSD159" s="56"/>
      <c r="GSE159" s="57"/>
      <c r="GSF159" s="54"/>
      <c r="GSG159" s="54"/>
      <c r="GSH159" s="54"/>
      <c r="GSI159" s="58"/>
      <c r="GSJ159" s="58"/>
      <c r="GSK159" s="58"/>
      <c r="GSL159" s="58"/>
      <c r="GSM159" s="59"/>
      <c r="GSN159" s="60"/>
      <c r="GSO159" s="54"/>
      <c r="GSP159" s="54"/>
      <c r="GSQ159" s="36"/>
      <c r="GSR159" s="55"/>
      <c r="GSS159" s="54"/>
      <c r="GST159" s="56"/>
      <c r="GSU159" s="57"/>
      <c r="GSV159" s="54"/>
      <c r="GSW159" s="54"/>
      <c r="GSX159" s="54"/>
      <c r="GSY159" s="58"/>
      <c r="GSZ159" s="58"/>
      <c r="GTA159" s="58"/>
      <c r="GTB159" s="58"/>
      <c r="GTC159" s="59"/>
      <c r="GTD159" s="60"/>
      <c r="GTE159" s="54"/>
      <c r="GTF159" s="54"/>
      <c r="GTG159" s="36"/>
      <c r="GTH159" s="55"/>
      <c r="GTI159" s="54"/>
      <c r="GTJ159" s="56"/>
      <c r="GTK159" s="57"/>
      <c r="GTL159" s="54"/>
      <c r="GTM159" s="54"/>
      <c r="GTN159" s="54"/>
      <c r="GTO159" s="58"/>
      <c r="GTP159" s="58"/>
      <c r="GTQ159" s="58"/>
      <c r="GTR159" s="58"/>
      <c r="GTS159" s="59"/>
      <c r="GTT159" s="60"/>
      <c r="GTU159" s="54"/>
      <c r="GTV159" s="54"/>
      <c r="GTW159" s="36"/>
      <c r="GTX159" s="55"/>
      <c r="GTY159" s="54"/>
      <c r="GTZ159" s="56"/>
      <c r="GUA159" s="57"/>
      <c r="GUB159" s="54"/>
      <c r="GUC159" s="54"/>
      <c r="GUD159" s="54"/>
      <c r="GUE159" s="58"/>
      <c r="GUF159" s="58"/>
      <c r="GUG159" s="58"/>
      <c r="GUH159" s="58"/>
      <c r="GUI159" s="59"/>
      <c r="GUJ159" s="60"/>
      <c r="GUK159" s="54"/>
      <c r="GUL159" s="54"/>
      <c r="GUM159" s="36"/>
      <c r="GUN159" s="55"/>
      <c r="GUO159" s="54"/>
      <c r="GUP159" s="56"/>
      <c r="GUQ159" s="57"/>
      <c r="GUR159" s="54"/>
      <c r="GUS159" s="54"/>
      <c r="GUT159" s="54"/>
      <c r="GUU159" s="58"/>
      <c r="GUV159" s="58"/>
      <c r="GUW159" s="58"/>
      <c r="GUX159" s="58"/>
      <c r="GUY159" s="59"/>
      <c r="GUZ159" s="60"/>
      <c r="GVA159" s="54"/>
      <c r="GVB159" s="54"/>
      <c r="GVC159" s="36"/>
      <c r="GVD159" s="55"/>
      <c r="GVE159" s="54"/>
      <c r="GVF159" s="56"/>
      <c r="GVG159" s="57"/>
      <c r="GVH159" s="54"/>
      <c r="GVI159" s="54"/>
      <c r="GVJ159" s="54"/>
      <c r="GVK159" s="58"/>
      <c r="GVL159" s="58"/>
      <c r="GVM159" s="58"/>
      <c r="GVN159" s="58"/>
      <c r="GVO159" s="59"/>
      <c r="GVP159" s="60"/>
      <c r="GVQ159" s="54"/>
      <c r="GVR159" s="54"/>
      <c r="GVS159" s="36"/>
      <c r="GVT159" s="55"/>
      <c r="GVU159" s="54"/>
      <c r="GVV159" s="56"/>
      <c r="GVW159" s="57"/>
      <c r="GVX159" s="54"/>
      <c r="GVY159" s="54"/>
      <c r="GVZ159" s="54"/>
      <c r="GWA159" s="58"/>
      <c r="GWB159" s="58"/>
      <c r="GWC159" s="58"/>
      <c r="GWD159" s="58"/>
      <c r="GWE159" s="59"/>
      <c r="GWF159" s="60"/>
      <c r="GWG159" s="54"/>
      <c r="GWH159" s="54"/>
      <c r="GWI159" s="36"/>
      <c r="GWJ159" s="55"/>
      <c r="GWK159" s="54"/>
      <c r="GWL159" s="56"/>
      <c r="GWM159" s="57"/>
      <c r="GWN159" s="54"/>
      <c r="GWO159" s="54"/>
      <c r="GWP159" s="54"/>
      <c r="GWQ159" s="58"/>
      <c r="GWR159" s="58"/>
      <c r="GWS159" s="58"/>
      <c r="GWT159" s="58"/>
      <c r="GWU159" s="59"/>
      <c r="GWV159" s="60"/>
      <c r="GWW159" s="54"/>
      <c r="GWX159" s="54"/>
      <c r="GWY159" s="36"/>
      <c r="GWZ159" s="55"/>
      <c r="GXA159" s="54"/>
      <c r="GXB159" s="56"/>
      <c r="GXC159" s="57"/>
      <c r="GXD159" s="54"/>
      <c r="GXE159" s="54"/>
      <c r="GXF159" s="54"/>
      <c r="GXG159" s="58"/>
      <c r="GXH159" s="58"/>
      <c r="GXI159" s="58"/>
      <c r="GXJ159" s="58"/>
      <c r="GXK159" s="59"/>
      <c r="GXL159" s="60"/>
      <c r="GXM159" s="54"/>
      <c r="GXN159" s="54"/>
      <c r="GXO159" s="36"/>
      <c r="GXP159" s="55"/>
      <c r="GXQ159" s="54"/>
      <c r="GXR159" s="56"/>
      <c r="GXS159" s="57"/>
      <c r="GXT159" s="54"/>
      <c r="GXU159" s="54"/>
      <c r="GXV159" s="54"/>
      <c r="GXW159" s="58"/>
      <c r="GXX159" s="58"/>
      <c r="GXY159" s="58"/>
      <c r="GXZ159" s="58"/>
      <c r="GYA159" s="59"/>
      <c r="GYB159" s="60"/>
      <c r="GYC159" s="54"/>
      <c r="GYD159" s="54"/>
      <c r="GYE159" s="36"/>
      <c r="GYF159" s="55"/>
      <c r="GYG159" s="54"/>
      <c r="GYH159" s="56"/>
      <c r="GYI159" s="57"/>
      <c r="GYJ159" s="54"/>
      <c r="GYK159" s="54"/>
      <c r="GYL159" s="54"/>
      <c r="GYM159" s="58"/>
      <c r="GYN159" s="58"/>
      <c r="GYO159" s="58"/>
      <c r="GYP159" s="58"/>
      <c r="GYQ159" s="59"/>
      <c r="GYR159" s="60"/>
      <c r="GYS159" s="54"/>
      <c r="GYT159" s="54"/>
      <c r="GYU159" s="36"/>
      <c r="GYV159" s="55"/>
      <c r="GYW159" s="54"/>
      <c r="GYX159" s="56"/>
      <c r="GYY159" s="57"/>
      <c r="GYZ159" s="54"/>
      <c r="GZA159" s="54"/>
      <c r="GZB159" s="54"/>
      <c r="GZC159" s="58"/>
      <c r="GZD159" s="58"/>
      <c r="GZE159" s="58"/>
      <c r="GZF159" s="58"/>
      <c r="GZG159" s="59"/>
      <c r="GZH159" s="60"/>
      <c r="GZI159" s="54"/>
      <c r="GZJ159" s="54"/>
      <c r="GZK159" s="36"/>
      <c r="GZL159" s="55"/>
      <c r="GZM159" s="54"/>
      <c r="GZN159" s="56"/>
      <c r="GZO159" s="57"/>
      <c r="GZP159" s="54"/>
      <c r="GZQ159" s="54"/>
      <c r="GZR159" s="54"/>
      <c r="GZS159" s="58"/>
      <c r="GZT159" s="58"/>
      <c r="GZU159" s="58"/>
      <c r="GZV159" s="58"/>
      <c r="GZW159" s="59"/>
      <c r="GZX159" s="60"/>
      <c r="GZY159" s="54"/>
      <c r="GZZ159" s="54"/>
      <c r="HAA159" s="36"/>
      <c r="HAB159" s="55"/>
      <c r="HAC159" s="54"/>
      <c r="HAD159" s="56"/>
      <c r="HAE159" s="57"/>
      <c r="HAF159" s="54"/>
      <c r="HAG159" s="54"/>
      <c r="HAH159" s="54"/>
      <c r="HAI159" s="58"/>
      <c r="HAJ159" s="58"/>
      <c r="HAK159" s="58"/>
      <c r="HAL159" s="58"/>
      <c r="HAM159" s="59"/>
      <c r="HAN159" s="60"/>
      <c r="HAO159" s="54"/>
      <c r="HAP159" s="54"/>
      <c r="HAQ159" s="36"/>
      <c r="HAR159" s="55"/>
      <c r="HAS159" s="54"/>
      <c r="HAT159" s="56"/>
      <c r="HAU159" s="57"/>
      <c r="HAV159" s="54"/>
      <c r="HAW159" s="54"/>
      <c r="HAX159" s="54"/>
      <c r="HAY159" s="58"/>
      <c r="HAZ159" s="58"/>
      <c r="HBA159" s="58"/>
      <c r="HBB159" s="58"/>
      <c r="HBC159" s="59"/>
      <c r="HBD159" s="60"/>
      <c r="HBE159" s="54"/>
      <c r="HBF159" s="54"/>
      <c r="HBG159" s="36"/>
      <c r="HBH159" s="55"/>
      <c r="HBI159" s="54"/>
      <c r="HBJ159" s="56"/>
      <c r="HBK159" s="57"/>
      <c r="HBL159" s="54"/>
      <c r="HBM159" s="54"/>
      <c r="HBN159" s="54"/>
      <c r="HBO159" s="58"/>
      <c r="HBP159" s="58"/>
      <c r="HBQ159" s="58"/>
      <c r="HBR159" s="58"/>
      <c r="HBS159" s="59"/>
      <c r="HBT159" s="60"/>
      <c r="HBU159" s="54"/>
      <c r="HBV159" s="54"/>
      <c r="HBW159" s="36"/>
      <c r="HBX159" s="55"/>
      <c r="HBY159" s="54"/>
      <c r="HBZ159" s="56"/>
      <c r="HCA159" s="57"/>
      <c r="HCB159" s="54"/>
      <c r="HCC159" s="54"/>
      <c r="HCD159" s="54"/>
      <c r="HCE159" s="58"/>
      <c r="HCF159" s="58"/>
      <c r="HCG159" s="58"/>
      <c r="HCH159" s="58"/>
      <c r="HCI159" s="59"/>
      <c r="HCJ159" s="60"/>
      <c r="HCK159" s="54"/>
      <c r="HCL159" s="54"/>
      <c r="HCM159" s="36"/>
      <c r="HCN159" s="55"/>
      <c r="HCO159" s="54"/>
      <c r="HCP159" s="56"/>
      <c r="HCQ159" s="57"/>
      <c r="HCR159" s="54"/>
      <c r="HCS159" s="54"/>
      <c r="HCT159" s="54"/>
      <c r="HCU159" s="58"/>
      <c r="HCV159" s="58"/>
      <c r="HCW159" s="58"/>
      <c r="HCX159" s="58"/>
      <c r="HCY159" s="59"/>
      <c r="HCZ159" s="60"/>
      <c r="HDA159" s="54"/>
      <c r="HDB159" s="54"/>
      <c r="HDC159" s="36"/>
      <c r="HDD159" s="55"/>
      <c r="HDE159" s="54"/>
      <c r="HDF159" s="56"/>
      <c r="HDG159" s="57"/>
      <c r="HDH159" s="54"/>
      <c r="HDI159" s="54"/>
      <c r="HDJ159" s="54"/>
      <c r="HDK159" s="58"/>
      <c r="HDL159" s="58"/>
      <c r="HDM159" s="58"/>
      <c r="HDN159" s="58"/>
      <c r="HDO159" s="59"/>
      <c r="HDP159" s="60"/>
      <c r="HDQ159" s="54"/>
      <c r="HDR159" s="54"/>
      <c r="HDS159" s="36"/>
      <c r="HDT159" s="55"/>
      <c r="HDU159" s="54"/>
      <c r="HDV159" s="56"/>
      <c r="HDW159" s="57"/>
      <c r="HDX159" s="54"/>
      <c r="HDY159" s="54"/>
      <c r="HDZ159" s="54"/>
      <c r="HEA159" s="58"/>
      <c r="HEB159" s="58"/>
      <c r="HEC159" s="58"/>
      <c r="HED159" s="58"/>
      <c r="HEE159" s="59"/>
      <c r="HEF159" s="60"/>
      <c r="HEG159" s="54"/>
      <c r="HEH159" s="54"/>
      <c r="HEI159" s="36"/>
      <c r="HEJ159" s="55"/>
      <c r="HEK159" s="54"/>
      <c r="HEL159" s="56"/>
      <c r="HEM159" s="57"/>
      <c r="HEN159" s="54"/>
      <c r="HEO159" s="54"/>
      <c r="HEP159" s="54"/>
      <c r="HEQ159" s="58"/>
      <c r="HER159" s="58"/>
      <c r="HES159" s="58"/>
      <c r="HET159" s="58"/>
      <c r="HEU159" s="59"/>
      <c r="HEV159" s="60"/>
      <c r="HEW159" s="54"/>
      <c r="HEX159" s="54"/>
      <c r="HEY159" s="36"/>
      <c r="HEZ159" s="55"/>
      <c r="HFA159" s="54"/>
      <c r="HFB159" s="56"/>
      <c r="HFC159" s="57"/>
      <c r="HFD159" s="54"/>
      <c r="HFE159" s="54"/>
      <c r="HFF159" s="54"/>
      <c r="HFG159" s="58"/>
      <c r="HFH159" s="58"/>
      <c r="HFI159" s="58"/>
      <c r="HFJ159" s="58"/>
      <c r="HFK159" s="59"/>
      <c r="HFL159" s="60"/>
      <c r="HFM159" s="54"/>
      <c r="HFN159" s="54"/>
      <c r="HFO159" s="36"/>
      <c r="HFP159" s="55"/>
      <c r="HFQ159" s="54"/>
      <c r="HFR159" s="56"/>
      <c r="HFS159" s="57"/>
      <c r="HFT159" s="54"/>
      <c r="HFU159" s="54"/>
      <c r="HFV159" s="54"/>
      <c r="HFW159" s="58"/>
      <c r="HFX159" s="58"/>
      <c r="HFY159" s="58"/>
      <c r="HFZ159" s="58"/>
      <c r="HGA159" s="59"/>
      <c r="HGB159" s="60"/>
      <c r="HGC159" s="54"/>
      <c r="HGD159" s="54"/>
      <c r="HGE159" s="36"/>
      <c r="HGF159" s="55"/>
      <c r="HGG159" s="54"/>
      <c r="HGH159" s="56"/>
      <c r="HGI159" s="57"/>
      <c r="HGJ159" s="54"/>
      <c r="HGK159" s="54"/>
      <c r="HGL159" s="54"/>
      <c r="HGM159" s="58"/>
      <c r="HGN159" s="58"/>
      <c r="HGO159" s="58"/>
      <c r="HGP159" s="58"/>
      <c r="HGQ159" s="59"/>
      <c r="HGR159" s="60"/>
      <c r="HGS159" s="54"/>
      <c r="HGT159" s="54"/>
      <c r="HGU159" s="36"/>
      <c r="HGV159" s="55"/>
      <c r="HGW159" s="54"/>
      <c r="HGX159" s="56"/>
      <c r="HGY159" s="57"/>
      <c r="HGZ159" s="54"/>
      <c r="HHA159" s="54"/>
      <c r="HHB159" s="54"/>
      <c r="HHC159" s="58"/>
      <c r="HHD159" s="58"/>
      <c r="HHE159" s="58"/>
      <c r="HHF159" s="58"/>
      <c r="HHG159" s="59"/>
      <c r="HHH159" s="60"/>
      <c r="HHI159" s="54"/>
      <c r="HHJ159" s="54"/>
      <c r="HHK159" s="36"/>
      <c r="HHL159" s="55"/>
      <c r="HHM159" s="54"/>
      <c r="HHN159" s="56"/>
      <c r="HHO159" s="57"/>
      <c r="HHP159" s="54"/>
      <c r="HHQ159" s="54"/>
      <c r="HHR159" s="54"/>
      <c r="HHS159" s="58"/>
      <c r="HHT159" s="58"/>
      <c r="HHU159" s="58"/>
      <c r="HHV159" s="58"/>
      <c r="HHW159" s="59"/>
      <c r="HHX159" s="60"/>
      <c r="HHY159" s="54"/>
      <c r="HHZ159" s="54"/>
      <c r="HIA159" s="36"/>
      <c r="HIB159" s="55"/>
      <c r="HIC159" s="54"/>
      <c r="HID159" s="56"/>
      <c r="HIE159" s="57"/>
      <c r="HIF159" s="54"/>
      <c r="HIG159" s="54"/>
      <c r="HIH159" s="54"/>
      <c r="HII159" s="58"/>
      <c r="HIJ159" s="58"/>
      <c r="HIK159" s="58"/>
      <c r="HIL159" s="58"/>
      <c r="HIM159" s="59"/>
      <c r="HIN159" s="60"/>
      <c r="HIO159" s="54"/>
      <c r="HIP159" s="54"/>
      <c r="HIQ159" s="36"/>
      <c r="HIR159" s="55"/>
      <c r="HIS159" s="54"/>
      <c r="HIT159" s="56"/>
      <c r="HIU159" s="57"/>
      <c r="HIV159" s="54"/>
      <c r="HIW159" s="54"/>
      <c r="HIX159" s="54"/>
      <c r="HIY159" s="58"/>
      <c r="HIZ159" s="58"/>
      <c r="HJA159" s="58"/>
      <c r="HJB159" s="58"/>
      <c r="HJC159" s="59"/>
      <c r="HJD159" s="60"/>
      <c r="HJE159" s="54"/>
      <c r="HJF159" s="54"/>
      <c r="HJG159" s="36"/>
      <c r="HJH159" s="55"/>
      <c r="HJI159" s="54"/>
      <c r="HJJ159" s="56"/>
      <c r="HJK159" s="57"/>
      <c r="HJL159" s="54"/>
      <c r="HJM159" s="54"/>
      <c r="HJN159" s="54"/>
      <c r="HJO159" s="58"/>
      <c r="HJP159" s="58"/>
      <c r="HJQ159" s="58"/>
      <c r="HJR159" s="58"/>
      <c r="HJS159" s="59"/>
      <c r="HJT159" s="60"/>
      <c r="HJU159" s="54"/>
      <c r="HJV159" s="54"/>
      <c r="HJW159" s="36"/>
      <c r="HJX159" s="55"/>
      <c r="HJY159" s="54"/>
      <c r="HJZ159" s="56"/>
      <c r="HKA159" s="57"/>
      <c r="HKB159" s="54"/>
      <c r="HKC159" s="54"/>
      <c r="HKD159" s="54"/>
      <c r="HKE159" s="58"/>
      <c r="HKF159" s="58"/>
      <c r="HKG159" s="58"/>
      <c r="HKH159" s="58"/>
      <c r="HKI159" s="59"/>
      <c r="HKJ159" s="60"/>
      <c r="HKK159" s="54"/>
      <c r="HKL159" s="54"/>
      <c r="HKM159" s="36"/>
      <c r="HKN159" s="55"/>
      <c r="HKO159" s="54"/>
      <c r="HKP159" s="56"/>
      <c r="HKQ159" s="57"/>
      <c r="HKR159" s="54"/>
      <c r="HKS159" s="54"/>
      <c r="HKT159" s="54"/>
      <c r="HKU159" s="58"/>
      <c r="HKV159" s="58"/>
      <c r="HKW159" s="58"/>
      <c r="HKX159" s="58"/>
      <c r="HKY159" s="59"/>
      <c r="HKZ159" s="60"/>
      <c r="HLA159" s="54"/>
      <c r="HLB159" s="54"/>
      <c r="HLC159" s="36"/>
      <c r="HLD159" s="55"/>
      <c r="HLE159" s="54"/>
      <c r="HLF159" s="56"/>
      <c r="HLG159" s="57"/>
      <c r="HLH159" s="54"/>
      <c r="HLI159" s="54"/>
      <c r="HLJ159" s="54"/>
      <c r="HLK159" s="58"/>
      <c r="HLL159" s="58"/>
      <c r="HLM159" s="58"/>
      <c r="HLN159" s="58"/>
      <c r="HLO159" s="59"/>
      <c r="HLP159" s="60"/>
      <c r="HLQ159" s="54"/>
      <c r="HLR159" s="54"/>
      <c r="HLS159" s="36"/>
      <c r="HLT159" s="55"/>
      <c r="HLU159" s="54"/>
      <c r="HLV159" s="56"/>
      <c r="HLW159" s="57"/>
      <c r="HLX159" s="54"/>
      <c r="HLY159" s="54"/>
      <c r="HLZ159" s="54"/>
      <c r="HMA159" s="58"/>
      <c r="HMB159" s="58"/>
      <c r="HMC159" s="58"/>
      <c r="HMD159" s="58"/>
      <c r="HME159" s="59"/>
      <c r="HMF159" s="60"/>
      <c r="HMG159" s="54"/>
      <c r="HMH159" s="54"/>
      <c r="HMI159" s="36"/>
      <c r="HMJ159" s="55"/>
      <c r="HMK159" s="54"/>
      <c r="HML159" s="56"/>
      <c r="HMM159" s="57"/>
      <c r="HMN159" s="54"/>
      <c r="HMO159" s="54"/>
      <c r="HMP159" s="54"/>
      <c r="HMQ159" s="58"/>
      <c r="HMR159" s="58"/>
      <c r="HMS159" s="58"/>
      <c r="HMT159" s="58"/>
      <c r="HMU159" s="59"/>
      <c r="HMV159" s="60"/>
      <c r="HMW159" s="54"/>
      <c r="HMX159" s="54"/>
      <c r="HMY159" s="36"/>
      <c r="HMZ159" s="55"/>
      <c r="HNA159" s="54"/>
      <c r="HNB159" s="56"/>
      <c r="HNC159" s="57"/>
      <c r="HND159" s="54"/>
      <c r="HNE159" s="54"/>
      <c r="HNF159" s="54"/>
      <c r="HNG159" s="58"/>
      <c r="HNH159" s="58"/>
      <c r="HNI159" s="58"/>
      <c r="HNJ159" s="58"/>
      <c r="HNK159" s="59"/>
      <c r="HNL159" s="60"/>
      <c r="HNM159" s="54"/>
      <c r="HNN159" s="54"/>
      <c r="HNO159" s="36"/>
      <c r="HNP159" s="55"/>
      <c r="HNQ159" s="54"/>
      <c r="HNR159" s="56"/>
      <c r="HNS159" s="57"/>
      <c r="HNT159" s="54"/>
      <c r="HNU159" s="54"/>
      <c r="HNV159" s="54"/>
      <c r="HNW159" s="58"/>
      <c r="HNX159" s="58"/>
      <c r="HNY159" s="58"/>
      <c r="HNZ159" s="58"/>
      <c r="HOA159" s="59"/>
      <c r="HOB159" s="60"/>
      <c r="HOC159" s="54"/>
      <c r="HOD159" s="54"/>
      <c r="HOE159" s="36"/>
      <c r="HOF159" s="55"/>
      <c r="HOG159" s="54"/>
      <c r="HOH159" s="56"/>
      <c r="HOI159" s="57"/>
      <c r="HOJ159" s="54"/>
      <c r="HOK159" s="54"/>
      <c r="HOL159" s="54"/>
      <c r="HOM159" s="58"/>
      <c r="HON159" s="58"/>
      <c r="HOO159" s="58"/>
      <c r="HOP159" s="58"/>
      <c r="HOQ159" s="59"/>
      <c r="HOR159" s="60"/>
      <c r="HOS159" s="54"/>
      <c r="HOT159" s="54"/>
      <c r="HOU159" s="36"/>
      <c r="HOV159" s="55"/>
      <c r="HOW159" s="54"/>
      <c r="HOX159" s="56"/>
      <c r="HOY159" s="57"/>
      <c r="HOZ159" s="54"/>
      <c r="HPA159" s="54"/>
      <c r="HPB159" s="54"/>
      <c r="HPC159" s="58"/>
      <c r="HPD159" s="58"/>
      <c r="HPE159" s="58"/>
      <c r="HPF159" s="58"/>
      <c r="HPG159" s="59"/>
      <c r="HPH159" s="60"/>
      <c r="HPI159" s="54"/>
      <c r="HPJ159" s="54"/>
      <c r="HPK159" s="36"/>
      <c r="HPL159" s="55"/>
      <c r="HPM159" s="54"/>
      <c r="HPN159" s="56"/>
      <c r="HPO159" s="57"/>
      <c r="HPP159" s="54"/>
      <c r="HPQ159" s="54"/>
      <c r="HPR159" s="54"/>
      <c r="HPS159" s="58"/>
      <c r="HPT159" s="58"/>
      <c r="HPU159" s="58"/>
      <c r="HPV159" s="58"/>
      <c r="HPW159" s="59"/>
      <c r="HPX159" s="60"/>
      <c r="HPY159" s="54"/>
      <c r="HPZ159" s="54"/>
      <c r="HQA159" s="36"/>
      <c r="HQB159" s="55"/>
      <c r="HQC159" s="54"/>
      <c r="HQD159" s="56"/>
      <c r="HQE159" s="57"/>
      <c r="HQF159" s="54"/>
      <c r="HQG159" s="54"/>
      <c r="HQH159" s="54"/>
      <c r="HQI159" s="58"/>
      <c r="HQJ159" s="58"/>
      <c r="HQK159" s="58"/>
      <c r="HQL159" s="58"/>
      <c r="HQM159" s="59"/>
      <c r="HQN159" s="60"/>
      <c r="HQO159" s="54"/>
      <c r="HQP159" s="54"/>
      <c r="HQQ159" s="36"/>
      <c r="HQR159" s="55"/>
      <c r="HQS159" s="54"/>
      <c r="HQT159" s="56"/>
      <c r="HQU159" s="57"/>
      <c r="HQV159" s="54"/>
      <c r="HQW159" s="54"/>
      <c r="HQX159" s="54"/>
      <c r="HQY159" s="58"/>
      <c r="HQZ159" s="58"/>
      <c r="HRA159" s="58"/>
      <c r="HRB159" s="58"/>
      <c r="HRC159" s="59"/>
      <c r="HRD159" s="60"/>
      <c r="HRE159" s="54"/>
      <c r="HRF159" s="54"/>
      <c r="HRG159" s="36"/>
      <c r="HRH159" s="55"/>
      <c r="HRI159" s="54"/>
      <c r="HRJ159" s="56"/>
      <c r="HRK159" s="57"/>
      <c r="HRL159" s="54"/>
      <c r="HRM159" s="54"/>
      <c r="HRN159" s="54"/>
      <c r="HRO159" s="58"/>
      <c r="HRP159" s="58"/>
      <c r="HRQ159" s="58"/>
      <c r="HRR159" s="58"/>
      <c r="HRS159" s="59"/>
      <c r="HRT159" s="60"/>
      <c r="HRU159" s="54"/>
      <c r="HRV159" s="54"/>
      <c r="HRW159" s="36"/>
      <c r="HRX159" s="55"/>
      <c r="HRY159" s="54"/>
      <c r="HRZ159" s="56"/>
      <c r="HSA159" s="57"/>
      <c r="HSB159" s="54"/>
      <c r="HSC159" s="54"/>
      <c r="HSD159" s="54"/>
      <c r="HSE159" s="58"/>
      <c r="HSF159" s="58"/>
      <c r="HSG159" s="58"/>
      <c r="HSH159" s="58"/>
      <c r="HSI159" s="59"/>
      <c r="HSJ159" s="60"/>
      <c r="HSK159" s="54"/>
      <c r="HSL159" s="54"/>
      <c r="HSM159" s="36"/>
      <c r="HSN159" s="55"/>
      <c r="HSO159" s="54"/>
      <c r="HSP159" s="56"/>
      <c r="HSQ159" s="57"/>
      <c r="HSR159" s="54"/>
      <c r="HSS159" s="54"/>
      <c r="HST159" s="54"/>
      <c r="HSU159" s="58"/>
      <c r="HSV159" s="58"/>
      <c r="HSW159" s="58"/>
      <c r="HSX159" s="58"/>
      <c r="HSY159" s="59"/>
      <c r="HSZ159" s="60"/>
      <c r="HTA159" s="54"/>
      <c r="HTB159" s="54"/>
      <c r="HTC159" s="36"/>
      <c r="HTD159" s="55"/>
      <c r="HTE159" s="54"/>
      <c r="HTF159" s="56"/>
      <c r="HTG159" s="57"/>
      <c r="HTH159" s="54"/>
      <c r="HTI159" s="54"/>
      <c r="HTJ159" s="54"/>
      <c r="HTK159" s="58"/>
      <c r="HTL159" s="58"/>
      <c r="HTM159" s="58"/>
      <c r="HTN159" s="58"/>
      <c r="HTO159" s="59"/>
      <c r="HTP159" s="60"/>
      <c r="HTQ159" s="54"/>
      <c r="HTR159" s="54"/>
      <c r="HTS159" s="36"/>
      <c r="HTT159" s="55"/>
      <c r="HTU159" s="54"/>
      <c r="HTV159" s="56"/>
      <c r="HTW159" s="57"/>
      <c r="HTX159" s="54"/>
      <c r="HTY159" s="54"/>
      <c r="HTZ159" s="54"/>
      <c r="HUA159" s="58"/>
      <c r="HUB159" s="58"/>
      <c r="HUC159" s="58"/>
      <c r="HUD159" s="58"/>
      <c r="HUE159" s="59"/>
      <c r="HUF159" s="60"/>
      <c r="HUG159" s="54"/>
      <c r="HUH159" s="54"/>
      <c r="HUI159" s="36"/>
      <c r="HUJ159" s="55"/>
      <c r="HUK159" s="54"/>
      <c r="HUL159" s="56"/>
      <c r="HUM159" s="57"/>
      <c r="HUN159" s="54"/>
      <c r="HUO159" s="54"/>
      <c r="HUP159" s="54"/>
      <c r="HUQ159" s="58"/>
      <c r="HUR159" s="58"/>
      <c r="HUS159" s="58"/>
      <c r="HUT159" s="58"/>
      <c r="HUU159" s="59"/>
      <c r="HUV159" s="60"/>
      <c r="HUW159" s="54"/>
      <c r="HUX159" s="54"/>
      <c r="HUY159" s="36"/>
      <c r="HUZ159" s="55"/>
      <c r="HVA159" s="54"/>
      <c r="HVB159" s="56"/>
      <c r="HVC159" s="57"/>
      <c r="HVD159" s="54"/>
      <c r="HVE159" s="54"/>
      <c r="HVF159" s="54"/>
      <c r="HVG159" s="58"/>
      <c r="HVH159" s="58"/>
      <c r="HVI159" s="58"/>
      <c r="HVJ159" s="58"/>
      <c r="HVK159" s="59"/>
      <c r="HVL159" s="60"/>
      <c r="HVM159" s="54"/>
      <c r="HVN159" s="54"/>
      <c r="HVO159" s="36"/>
      <c r="HVP159" s="55"/>
      <c r="HVQ159" s="54"/>
      <c r="HVR159" s="56"/>
      <c r="HVS159" s="57"/>
      <c r="HVT159" s="54"/>
      <c r="HVU159" s="54"/>
      <c r="HVV159" s="54"/>
      <c r="HVW159" s="58"/>
      <c r="HVX159" s="58"/>
      <c r="HVY159" s="58"/>
      <c r="HVZ159" s="58"/>
      <c r="HWA159" s="59"/>
      <c r="HWB159" s="60"/>
      <c r="HWC159" s="54"/>
      <c r="HWD159" s="54"/>
      <c r="HWE159" s="36"/>
      <c r="HWF159" s="55"/>
      <c r="HWG159" s="54"/>
      <c r="HWH159" s="56"/>
      <c r="HWI159" s="57"/>
      <c r="HWJ159" s="54"/>
      <c r="HWK159" s="54"/>
      <c r="HWL159" s="54"/>
      <c r="HWM159" s="58"/>
      <c r="HWN159" s="58"/>
      <c r="HWO159" s="58"/>
      <c r="HWP159" s="58"/>
      <c r="HWQ159" s="59"/>
      <c r="HWR159" s="60"/>
      <c r="HWS159" s="54"/>
      <c r="HWT159" s="54"/>
      <c r="HWU159" s="36"/>
      <c r="HWV159" s="55"/>
      <c r="HWW159" s="54"/>
      <c r="HWX159" s="56"/>
      <c r="HWY159" s="57"/>
      <c r="HWZ159" s="54"/>
      <c r="HXA159" s="54"/>
      <c r="HXB159" s="54"/>
      <c r="HXC159" s="58"/>
      <c r="HXD159" s="58"/>
      <c r="HXE159" s="58"/>
      <c r="HXF159" s="58"/>
      <c r="HXG159" s="59"/>
      <c r="HXH159" s="60"/>
      <c r="HXI159" s="54"/>
      <c r="HXJ159" s="54"/>
      <c r="HXK159" s="36"/>
      <c r="HXL159" s="55"/>
      <c r="HXM159" s="54"/>
      <c r="HXN159" s="56"/>
      <c r="HXO159" s="57"/>
      <c r="HXP159" s="54"/>
      <c r="HXQ159" s="54"/>
      <c r="HXR159" s="54"/>
      <c r="HXS159" s="58"/>
      <c r="HXT159" s="58"/>
      <c r="HXU159" s="58"/>
      <c r="HXV159" s="58"/>
      <c r="HXW159" s="59"/>
      <c r="HXX159" s="60"/>
      <c r="HXY159" s="54"/>
      <c r="HXZ159" s="54"/>
      <c r="HYA159" s="36"/>
      <c r="HYB159" s="55"/>
      <c r="HYC159" s="54"/>
      <c r="HYD159" s="56"/>
      <c r="HYE159" s="57"/>
      <c r="HYF159" s="54"/>
      <c r="HYG159" s="54"/>
      <c r="HYH159" s="54"/>
      <c r="HYI159" s="58"/>
      <c r="HYJ159" s="58"/>
      <c r="HYK159" s="58"/>
      <c r="HYL159" s="58"/>
      <c r="HYM159" s="59"/>
      <c r="HYN159" s="60"/>
      <c r="HYO159" s="54"/>
      <c r="HYP159" s="54"/>
      <c r="HYQ159" s="36"/>
      <c r="HYR159" s="55"/>
      <c r="HYS159" s="54"/>
      <c r="HYT159" s="56"/>
      <c r="HYU159" s="57"/>
      <c r="HYV159" s="54"/>
      <c r="HYW159" s="54"/>
      <c r="HYX159" s="54"/>
      <c r="HYY159" s="58"/>
      <c r="HYZ159" s="58"/>
      <c r="HZA159" s="58"/>
      <c r="HZB159" s="58"/>
      <c r="HZC159" s="59"/>
      <c r="HZD159" s="60"/>
      <c r="HZE159" s="54"/>
      <c r="HZF159" s="54"/>
      <c r="HZG159" s="36"/>
      <c r="HZH159" s="55"/>
      <c r="HZI159" s="54"/>
      <c r="HZJ159" s="56"/>
      <c r="HZK159" s="57"/>
      <c r="HZL159" s="54"/>
      <c r="HZM159" s="54"/>
      <c r="HZN159" s="54"/>
      <c r="HZO159" s="58"/>
      <c r="HZP159" s="58"/>
      <c r="HZQ159" s="58"/>
      <c r="HZR159" s="58"/>
      <c r="HZS159" s="59"/>
      <c r="HZT159" s="60"/>
      <c r="HZU159" s="54"/>
      <c r="HZV159" s="54"/>
      <c r="HZW159" s="36"/>
      <c r="HZX159" s="55"/>
      <c r="HZY159" s="54"/>
      <c r="HZZ159" s="56"/>
      <c r="IAA159" s="57"/>
      <c r="IAB159" s="54"/>
      <c r="IAC159" s="54"/>
      <c r="IAD159" s="54"/>
      <c r="IAE159" s="58"/>
      <c r="IAF159" s="58"/>
      <c r="IAG159" s="58"/>
      <c r="IAH159" s="58"/>
      <c r="IAI159" s="59"/>
      <c r="IAJ159" s="60"/>
      <c r="IAK159" s="54"/>
      <c r="IAL159" s="54"/>
      <c r="IAM159" s="36"/>
      <c r="IAN159" s="55"/>
      <c r="IAO159" s="54"/>
      <c r="IAP159" s="56"/>
      <c r="IAQ159" s="57"/>
      <c r="IAR159" s="54"/>
      <c r="IAS159" s="54"/>
      <c r="IAT159" s="54"/>
      <c r="IAU159" s="58"/>
      <c r="IAV159" s="58"/>
      <c r="IAW159" s="58"/>
      <c r="IAX159" s="58"/>
      <c r="IAY159" s="59"/>
      <c r="IAZ159" s="60"/>
      <c r="IBA159" s="54"/>
      <c r="IBB159" s="54"/>
      <c r="IBC159" s="36"/>
      <c r="IBD159" s="55"/>
      <c r="IBE159" s="54"/>
      <c r="IBF159" s="56"/>
      <c r="IBG159" s="57"/>
      <c r="IBH159" s="54"/>
      <c r="IBI159" s="54"/>
      <c r="IBJ159" s="54"/>
      <c r="IBK159" s="58"/>
      <c r="IBL159" s="58"/>
      <c r="IBM159" s="58"/>
      <c r="IBN159" s="58"/>
      <c r="IBO159" s="59"/>
      <c r="IBP159" s="60"/>
      <c r="IBQ159" s="54"/>
      <c r="IBR159" s="54"/>
      <c r="IBS159" s="36"/>
      <c r="IBT159" s="55"/>
      <c r="IBU159" s="54"/>
      <c r="IBV159" s="56"/>
      <c r="IBW159" s="57"/>
      <c r="IBX159" s="54"/>
      <c r="IBY159" s="54"/>
      <c r="IBZ159" s="54"/>
      <c r="ICA159" s="58"/>
      <c r="ICB159" s="58"/>
      <c r="ICC159" s="58"/>
      <c r="ICD159" s="58"/>
      <c r="ICE159" s="59"/>
      <c r="ICF159" s="60"/>
      <c r="ICG159" s="54"/>
      <c r="ICH159" s="54"/>
      <c r="ICI159" s="36"/>
      <c r="ICJ159" s="55"/>
      <c r="ICK159" s="54"/>
      <c r="ICL159" s="56"/>
      <c r="ICM159" s="57"/>
      <c r="ICN159" s="54"/>
      <c r="ICO159" s="54"/>
      <c r="ICP159" s="54"/>
      <c r="ICQ159" s="58"/>
      <c r="ICR159" s="58"/>
      <c r="ICS159" s="58"/>
      <c r="ICT159" s="58"/>
      <c r="ICU159" s="59"/>
      <c r="ICV159" s="60"/>
      <c r="ICW159" s="54"/>
      <c r="ICX159" s="54"/>
      <c r="ICY159" s="36"/>
      <c r="ICZ159" s="55"/>
      <c r="IDA159" s="54"/>
      <c r="IDB159" s="56"/>
      <c r="IDC159" s="57"/>
      <c r="IDD159" s="54"/>
      <c r="IDE159" s="54"/>
      <c r="IDF159" s="54"/>
      <c r="IDG159" s="58"/>
      <c r="IDH159" s="58"/>
      <c r="IDI159" s="58"/>
      <c r="IDJ159" s="58"/>
      <c r="IDK159" s="59"/>
      <c r="IDL159" s="60"/>
      <c r="IDM159" s="54"/>
      <c r="IDN159" s="54"/>
      <c r="IDO159" s="36"/>
      <c r="IDP159" s="55"/>
      <c r="IDQ159" s="54"/>
      <c r="IDR159" s="56"/>
      <c r="IDS159" s="57"/>
      <c r="IDT159" s="54"/>
      <c r="IDU159" s="54"/>
      <c r="IDV159" s="54"/>
      <c r="IDW159" s="58"/>
      <c r="IDX159" s="58"/>
      <c r="IDY159" s="58"/>
      <c r="IDZ159" s="58"/>
      <c r="IEA159" s="59"/>
      <c r="IEB159" s="60"/>
      <c r="IEC159" s="54"/>
      <c r="IED159" s="54"/>
      <c r="IEE159" s="36"/>
      <c r="IEF159" s="55"/>
      <c r="IEG159" s="54"/>
      <c r="IEH159" s="56"/>
      <c r="IEI159" s="57"/>
      <c r="IEJ159" s="54"/>
      <c r="IEK159" s="54"/>
      <c r="IEL159" s="54"/>
      <c r="IEM159" s="58"/>
      <c r="IEN159" s="58"/>
      <c r="IEO159" s="58"/>
      <c r="IEP159" s="58"/>
      <c r="IEQ159" s="59"/>
      <c r="IER159" s="60"/>
      <c r="IES159" s="54"/>
      <c r="IET159" s="54"/>
      <c r="IEU159" s="36"/>
      <c r="IEV159" s="55"/>
      <c r="IEW159" s="54"/>
      <c r="IEX159" s="56"/>
      <c r="IEY159" s="57"/>
      <c r="IEZ159" s="54"/>
      <c r="IFA159" s="54"/>
      <c r="IFB159" s="54"/>
      <c r="IFC159" s="58"/>
      <c r="IFD159" s="58"/>
      <c r="IFE159" s="58"/>
      <c r="IFF159" s="58"/>
      <c r="IFG159" s="59"/>
      <c r="IFH159" s="60"/>
      <c r="IFI159" s="54"/>
      <c r="IFJ159" s="54"/>
      <c r="IFK159" s="36"/>
      <c r="IFL159" s="55"/>
      <c r="IFM159" s="54"/>
      <c r="IFN159" s="56"/>
      <c r="IFO159" s="57"/>
      <c r="IFP159" s="54"/>
      <c r="IFQ159" s="54"/>
      <c r="IFR159" s="54"/>
      <c r="IFS159" s="58"/>
      <c r="IFT159" s="58"/>
      <c r="IFU159" s="58"/>
      <c r="IFV159" s="58"/>
      <c r="IFW159" s="59"/>
      <c r="IFX159" s="60"/>
      <c r="IFY159" s="54"/>
      <c r="IFZ159" s="54"/>
      <c r="IGA159" s="36"/>
      <c r="IGB159" s="55"/>
      <c r="IGC159" s="54"/>
      <c r="IGD159" s="56"/>
      <c r="IGE159" s="57"/>
      <c r="IGF159" s="54"/>
      <c r="IGG159" s="54"/>
      <c r="IGH159" s="54"/>
      <c r="IGI159" s="58"/>
      <c r="IGJ159" s="58"/>
      <c r="IGK159" s="58"/>
      <c r="IGL159" s="58"/>
      <c r="IGM159" s="59"/>
      <c r="IGN159" s="60"/>
      <c r="IGO159" s="54"/>
      <c r="IGP159" s="54"/>
      <c r="IGQ159" s="36"/>
      <c r="IGR159" s="55"/>
      <c r="IGS159" s="54"/>
      <c r="IGT159" s="56"/>
      <c r="IGU159" s="57"/>
      <c r="IGV159" s="54"/>
      <c r="IGW159" s="54"/>
      <c r="IGX159" s="54"/>
      <c r="IGY159" s="58"/>
      <c r="IGZ159" s="58"/>
      <c r="IHA159" s="58"/>
      <c r="IHB159" s="58"/>
      <c r="IHC159" s="59"/>
      <c r="IHD159" s="60"/>
      <c r="IHE159" s="54"/>
      <c r="IHF159" s="54"/>
      <c r="IHG159" s="36"/>
      <c r="IHH159" s="55"/>
      <c r="IHI159" s="54"/>
      <c r="IHJ159" s="56"/>
      <c r="IHK159" s="57"/>
      <c r="IHL159" s="54"/>
      <c r="IHM159" s="54"/>
      <c r="IHN159" s="54"/>
      <c r="IHO159" s="58"/>
      <c r="IHP159" s="58"/>
      <c r="IHQ159" s="58"/>
      <c r="IHR159" s="58"/>
      <c r="IHS159" s="59"/>
      <c r="IHT159" s="60"/>
      <c r="IHU159" s="54"/>
      <c r="IHV159" s="54"/>
      <c r="IHW159" s="36"/>
      <c r="IHX159" s="55"/>
      <c r="IHY159" s="54"/>
      <c r="IHZ159" s="56"/>
      <c r="IIA159" s="57"/>
      <c r="IIB159" s="54"/>
      <c r="IIC159" s="54"/>
      <c r="IID159" s="54"/>
      <c r="IIE159" s="58"/>
      <c r="IIF159" s="58"/>
      <c r="IIG159" s="58"/>
      <c r="IIH159" s="58"/>
      <c r="III159" s="59"/>
      <c r="IIJ159" s="60"/>
      <c r="IIK159" s="54"/>
      <c r="IIL159" s="54"/>
      <c r="IIM159" s="36"/>
      <c r="IIN159" s="55"/>
      <c r="IIO159" s="54"/>
      <c r="IIP159" s="56"/>
      <c r="IIQ159" s="57"/>
      <c r="IIR159" s="54"/>
      <c r="IIS159" s="54"/>
      <c r="IIT159" s="54"/>
      <c r="IIU159" s="58"/>
      <c r="IIV159" s="58"/>
      <c r="IIW159" s="58"/>
      <c r="IIX159" s="58"/>
      <c r="IIY159" s="59"/>
      <c r="IIZ159" s="60"/>
      <c r="IJA159" s="54"/>
      <c r="IJB159" s="54"/>
      <c r="IJC159" s="36"/>
      <c r="IJD159" s="55"/>
      <c r="IJE159" s="54"/>
      <c r="IJF159" s="56"/>
      <c r="IJG159" s="57"/>
      <c r="IJH159" s="54"/>
      <c r="IJI159" s="54"/>
      <c r="IJJ159" s="54"/>
      <c r="IJK159" s="58"/>
      <c r="IJL159" s="58"/>
      <c r="IJM159" s="58"/>
      <c r="IJN159" s="58"/>
      <c r="IJO159" s="59"/>
      <c r="IJP159" s="60"/>
      <c r="IJQ159" s="54"/>
      <c r="IJR159" s="54"/>
      <c r="IJS159" s="36"/>
      <c r="IJT159" s="55"/>
      <c r="IJU159" s="54"/>
      <c r="IJV159" s="56"/>
      <c r="IJW159" s="57"/>
      <c r="IJX159" s="54"/>
      <c r="IJY159" s="54"/>
      <c r="IJZ159" s="54"/>
      <c r="IKA159" s="58"/>
      <c r="IKB159" s="58"/>
      <c r="IKC159" s="58"/>
      <c r="IKD159" s="58"/>
      <c r="IKE159" s="59"/>
      <c r="IKF159" s="60"/>
      <c r="IKG159" s="54"/>
      <c r="IKH159" s="54"/>
      <c r="IKI159" s="36"/>
      <c r="IKJ159" s="55"/>
      <c r="IKK159" s="54"/>
      <c r="IKL159" s="56"/>
      <c r="IKM159" s="57"/>
      <c r="IKN159" s="54"/>
      <c r="IKO159" s="54"/>
      <c r="IKP159" s="54"/>
      <c r="IKQ159" s="58"/>
      <c r="IKR159" s="58"/>
      <c r="IKS159" s="58"/>
      <c r="IKT159" s="58"/>
      <c r="IKU159" s="59"/>
      <c r="IKV159" s="60"/>
      <c r="IKW159" s="54"/>
      <c r="IKX159" s="54"/>
      <c r="IKY159" s="36"/>
      <c r="IKZ159" s="55"/>
      <c r="ILA159" s="54"/>
      <c r="ILB159" s="56"/>
      <c r="ILC159" s="57"/>
      <c r="ILD159" s="54"/>
      <c r="ILE159" s="54"/>
      <c r="ILF159" s="54"/>
      <c r="ILG159" s="58"/>
      <c r="ILH159" s="58"/>
      <c r="ILI159" s="58"/>
      <c r="ILJ159" s="58"/>
      <c r="ILK159" s="59"/>
      <c r="ILL159" s="60"/>
      <c r="ILM159" s="54"/>
      <c r="ILN159" s="54"/>
      <c r="ILO159" s="36"/>
      <c r="ILP159" s="55"/>
      <c r="ILQ159" s="54"/>
      <c r="ILR159" s="56"/>
      <c r="ILS159" s="57"/>
      <c r="ILT159" s="54"/>
      <c r="ILU159" s="54"/>
      <c r="ILV159" s="54"/>
      <c r="ILW159" s="58"/>
      <c r="ILX159" s="58"/>
      <c r="ILY159" s="58"/>
      <c r="ILZ159" s="58"/>
      <c r="IMA159" s="59"/>
      <c r="IMB159" s="60"/>
      <c r="IMC159" s="54"/>
      <c r="IMD159" s="54"/>
      <c r="IME159" s="36"/>
      <c r="IMF159" s="55"/>
      <c r="IMG159" s="54"/>
      <c r="IMH159" s="56"/>
      <c r="IMI159" s="57"/>
      <c r="IMJ159" s="54"/>
      <c r="IMK159" s="54"/>
      <c r="IML159" s="54"/>
      <c r="IMM159" s="58"/>
      <c r="IMN159" s="58"/>
      <c r="IMO159" s="58"/>
      <c r="IMP159" s="58"/>
      <c r="IMQ159" s="59"/>
      <c r="IMR159" s="60"/>
      <c r="IMS159" s="54"/>
      <c r="IMT159" s="54"/>
      <c r="IMU159" s="36"/>
      <c r="IMV159" s="55"/>
      <c r="IMW159" s="54"/>
      <c r="IMX159" s="56"/>
      <c r="IMY159" s="57"/>
      <c r="IMZ159" s="54"/>
      <c r="INA159" s="54"/>
      <c r="INB159" s="54"/>
      <c r="INC159" s="58"/>
      <c r="IND159" s="58"/>
      <c r="INE159" s="58"/>
      <c r="INF159" s="58"/>
      <c r="ING159" s="59"/>
      <c r="INH159" s="60"/>
      <c r="INI159" s="54"/>
      <c r="INJ159" s="54"/>
      <c r="INK159" s="36"/>
      <c r="INL159" s="55"/>
      <c r="INM159" s="54"/>
      <c r="INN159" s="56"/>
      <c r="INO159" s="57"/>
      <c r="INP159" s="54"/>
      <c r="INQ159" s="54"/>
      <c r="INR159" s="54"/>
      <c r="INS159" s="58"/>
      <c r="INT159" s="58"/>
      <c r="INU159" s="58"/>
      <c r="INV159" s="58"/>
      <c r="INW159" s="59"/>
      <c r="INX159" s="60"/>
      <c r="INY159" s="54"/>
      <c r="INZ159" s="54"/>
      <c r="IOA159" s="36"/>
      <c r="IOB159" s="55"/>
      <c r="IOC159" s="54"/>
      <c r="IOD159" s="56"/>
      <c r="IOE159" s="57"/>
      <c r="IOF159" s="54"/>
      <c r="IOG159" s="54"/>
      <c r="IOH159" s="54"/>
      <c r="IOI159" s="58"/>
      <c r="IOJ159" s="58"/>
      <c r="IOK159" s="58"/>
      <c r="IOL159" s="58"/>
      <c r="IOM159" s="59"/>
      <c r="ION159" s="60"/>
      <c r="IOO159" s="54"/>
      <c r="IOP159" s="54"/>
      <c r="IOQ159" s="36"/>
      <c r="IOR159" s="55"/>
      <c r="IOS159" s="54"/>
      <c r="IOT159" s="56"/>
      <c r="IOU159" s="57"/>
      <c r="IOV159" s="54"/>
      <c r="IOW159" s="54"/>
      <c r="IOX159" s="54"/>
      <c r="IOY159" s="58"/>
      <c r="IOZ159" s="58"/>
      <c r="IPA159" s="58"/>
      <c r="IPB159" s="58"/>
      <c r="IPC159" s="59"/>
      <c r="IPD159" s="60"/>
      <c r="IPE159" s="54"/>
      <c r="IPF159" s="54"/>
      <c r="IPG159" s="36"/>
      <c r="IPH159" s="55"/>
      <c r="IPI159" s="54"/>
      <c r="IPJ159" s="56"/>
      <c r="IPK159" s="57"/>
      <c r="IPL159" s="54"/>
      <c r="IPM159" s="54"/>
      <c r="IPN159" s="54"/>
      <c r="IPO159" s="58"/>
      <c r="IPP159" s="58"/>
      <c r="IPQ159" s="58"/>
      <c r="IPR159" s="58"/>
      <c r="IPS159" s="59"/>
      <c r="IPT159" s="60"/>
      <c r="IPU159" s="54"/>
      <c r="IPV159" s="54"/>
      <c r="IPW159" s="36"/>
      <c r="IPX159" s="55"/>
      <c r="IPY159" s="54"/>
      <c r="IPZ159" s="56"/>
      <c r="IQA159" s="57"/>
      <c r="IQB159" s="54"/>
      <c r="IQC159" s="54"/>
      <c r="IQD159" s="54"/>
      <c r="IQE159" s="58"/>
      <c r="IQF159" s="58"/>
      <c r="IQG159" s="58"/>
      <c r="IQH159" s="58"/>
      <c r="IQI159" s="59"/>
      <c r="IQJ159" s="60"/>
      <c r="IQK159" s="54"/>
      <c r="IQL159" s="54"/>
      <c r="IQM159" s="36"/>
      <c r="IQN159" s="55"/>
      <c r="IQO159" s="54"/>
      <c r="IQP159" s="56"/>
      <c r="IQQ159" s="57"/>
      <c r="IQR159" s="54"/>
      <c r="IQS159" s="54"/>
      <c r="IQT159" s="54"/>
      <c r="IQU159" s="58"/>
      <c r="IQV159" s="58"/>
      <c r="IQW159" s="58"/>
      <c r="IQX159" s="58"/>
      <c r="IQY159" s="59"/>
      <c r="IQZ159" s="60"/>
      <c r="IRA159" s="54"/>
      <c r="IRB159" s="54"/>
      <c r="IRC159" s="36"/>
      <c r="IRD159" s="55"/>
      <c r="IRE159" s="54"/>
      <c r="IRF159" s="56"/>
      <c r="IRG159" s="57"/>
      <c r="IRH159" s="54"/>
      <c r="IRI159" s="54"/>
      <c r="IRJ159" s="54"/>
      <c r="IRK159" s="58"/>
      <c r="IRL159" s="58"/>
      <c r="IRM159" s="58"/>
      <c r="IRN159" s="58"/>
      <c r="IRO159" s="59"/>
      <c r="IRP159" s="60"/>
      <c r="IRQ159" s="54"/>
      <c r="IRR159" s="54"/>
      <c r="IRS159" s="36"/>
      <c r="IRT159" s="55"/>
      <c r="IRU159" s="54"/>
      <c r="IRV159" s="56"/>
      <c r="IRW159" s="57"/>
      <c r="IRX159" s="54"/>
      <c r="IRY159" s="54"/>
      <c r="IRZ159" s="54"/>
      <c r="ISA159" s="58"/>
      <c r="ISB159" s="58"/>
      <c r="ISC159" s="58"/>
      <c r="ISD159" s="58"/>
      <c r="ISE159" s="59"/>
      <c r="ISF159" s="60"/>
      <c r="ISG159" s="54"/>
      <c r="ISH159" s="54"/>
      <c r="ISI159" s="36"/>
      <c r="ISJ159" s="55"/>
      <c r="ISK159" s="54"/>
      <c r="ISL159" s="56"/>
      <c r="ISM159" s="57"/>
      <c r="ISN159" s="54"/>
      <c r="ISO159" s="54"/>
      <c r="ISP159" s="54"/>
      <c r="ISQ159" s="58"/>
      <c r="ISR159" s="58"/>
      <c r="ISS159" s="58"/>
      <c r="IST159" s="58"/>
      <c r="ISU159" s="59"/>
      <c r="ISV159" s="60"/>
      <c r="ISW159" s="54"/>
      <c r="ISX159" s="54"/>
      <c r="ISY159" s="36"/>
      <c r="ISZ159" s="55"/>
      <c r="ITA159" s="54"/>
      <c r="ITB159" s="56"/>
      <c r="ITC159" s="57"/>
      <c r="ITD159" s="54"/>
      <c r="ITE159" s="54"/>
      <c r="ITF159" s="54"/>
      <c r="ITG159" s="58"/>
      <c r="ITH159" s="58"/>
      <c r="ITI159" s="58"/>
      <c r="ITJ159" s="58"/>
      <c r="ITK159" s="59"/>
      <c r="ITL159" s="60"/>
      <c r="ITM159" s="54"/>
      <c r="ITN159" s="54"/>
      <c r="ITO159" s="36"/>
      <c r="ITP159" s="55"/>
      <c r="ITQ159" s="54"/>
      <c r="ITR159" s="56"/>
      <c r="ITS159" s="57"/>
      <c r="ITT159" s="54"/>
      <c r="ITU159" s="54"/>
      <c r="ITV159" s="54"/>
      <c r="ITW159" s="58"/>
      <c r="ITX159" s="58"/>
      <c r="ITY159" s="58"/>
      <c r="ITZ159" s="58"/>
      <c r="IUA159" s="59"/>
      <c r="IUB159" s="60"/>
      <c r="IUC159" s="54"/>
      <c r="IUD159" s="54"/>
      <c r="IUE159" s="36"/>
      <c r="IUF159" s="55"/>
      <c r="IUG159" s="54"/>
      <c r="IUH159" s="56"/>
      <c r="IUI159" s="57"/>
      <c r="IUJ159" s="54"/>
      <c r="IUK159" s="54"/>
      <c r="IUL159" s="54"/>
      <c r="IUM159" s="58"/>
      <c r="IUN159" s="58"/>
      <c r="IUO159" s="58"/>
      <c r="IUP159" s="58"/>
      <c r="IUQ159" s="59"/>
      <c r="IUR159" s="60"/>
      <c r="IUS159" s="54"/>
      <c r="IUT159" s="54"/>
      <c r="IUU159" s="36"/>
      <c r="IUV159" s="55"/>
      <c r="IUW159" s="54"/>
      <c r="IUX159" s="56"/>
      <c r="IUY159" s="57"/>
      <c r="IUZ159" s="54"/>
      <c r="IVA159" s="54"/>
      <c r="IVB159" s="54"/>
      <c r="IVC159" s="58"/>
      <c r="IVD159" s="58"/>
      <c r="IVE159" s="58"/>
      <c r="IVF159" s="58"/>
      <c r="IVG159" s="59"/>
      <c r="IVH159" s="60"/>
      <c r="IVI159" s="54"/>
      <c r="IVJ159" s="54"/>
      <c r="IVK159" s="36"/>
      <c r="IVL159" s="55"/>
      <c r="IVM159" s="54"/>
      <c r="IVN159" s="56"/>
      <c r="IVO159" s="57"/>
      <c r="IVP159" s="54"/>
      <c r="IVQ159" s="54"/>
      <c r="IVR159" s="54"/>
      <c r="IVS159" s="58"/>
      <c r="IVT159" s="58"/>
      <c r="IVU159" s="58"/>
      <c r="IVV159" s="58"/>
      <c r="IVW159" s="59"/>
      <c r="IVX159" s="60"/>
      <c r="IVY159" s="54"/>
      <c r="IVZ159" s="54"/>
      <c r="IWA159" s="36"/>
      <c r="IWB159" s="55"/>
      <c r="IWC159" s="54"/>
      <c r="IWD159" s="56"/>
      <c r="IWE159" s="57"/>
      <c r="IWF159" s="54"/>
      <c r="IWG159" s="54"/>
      <c r="IWH159" s="54"/>
      <c r="IWI159" s="58"/>
      <c r="IWJ159" s="58"/>
      <c r="IWK159" s="58"/>
      <c r="IWL159" s="58"/>
      <c r="IWM159" s="59"/>
      <c r="IWN159" s="60"/>
      <c r="IWO159" s="54"/>
      <c r="IWP159" s="54"/>
      <c r="IWQ159" s="36"/>
      <c r="IWR159" s="55"/>
      <c r="IWS159" s="54"/>
      <c r="IWT159" s="56"/>
      <c r="IWU159" s="57"/>
      <c r="IWV159" s="54"/>
      <c r="IWW159" s="54"/>
      <c r="IWX159" s="54"/>
      <c r="IWY159" s="58"/>
      <c r="IWZ159" s="58"/>
      <c r="IXA159" s="58"/>
      <c r="IXB159" s="58"/>
      <c r="IXC159" s="59"/>
      <c r="IXD159" s="60"/>
      <c r="IXE159" s="54"/>
      <c r="IXF159" s="54"/>
      <c r="IXG159" s="36"/>
      <c r="IXH159" s="55"/>
      <c r="IXI159" s="54"/>
      <c r="IXJ159" s="56"/>
      <c r="IXK159" s="57"/>
      <c r="IXL159" s="54"/>
      <c r="IXM159" s="54"/>
      <c r="IXN159" s="54"/>
      <c r="IXO159" s="58"/>
      <c r="IXP159" s="58"/>
      <c r="IXQ159" s="58"/>
      <c r="IXR159" s="58"/>
      <c r="IXS159" s="59"/>
      <c r="IXT159" s="60"/>
      <c r="IXU159" s="54"/>
      <c r="IXV159" s="54"/>
      <c r="IXW159" s="36"/>
      <c r="IXX159" s="55"/>
      <c r="IXY159" s="54"/>
      <c r="IXZ159" s="56"/>
      <c r="IYA159" s="57"/>
      <c r="IYB159" s="54"/>
      <c r="IYC159" s="54"/>
      <c r="IYD159" s="54"/>
      <c r="IYE159" s="58"/>
      <c r="IYF159" s="58"/>
      <c r="IYG159" s="58"/>
      <c r="IYH159" s="58"/>
      <c r="IYI159" s="59"/>
      <c r="IYJ159" s="60"/>
      <c r="IYK159" s="54"/>
      <c r="IYL159" s="54"/>
      <c r="IYM159" s="36"/>
      <c r="IYN159" s="55"/>
      <c r="IYO159" s="54"/>
      <c r="IYP159" s="56"/>
      <c r="IYQ159" s="57"/>
      <c r="IYR159" s="54"/>
      <c r="IYS159" s="54"/>
      <c r="IYT159" s="54"/>
      <c r="IYU159" s="58"/>
      <c r="IYV159" s="58"/>
      <c r="IYW159" s="58"/>
      <c r="IYX159" s="58"/>
      <c r="IYY159" s="59"/>
      <c r="IYZ159" s="60"/>
      <c r="IZA159" s="54"/>
      <c r="IZB159" s="54"/>
      <c r="IZC159" s="36"/>
      <c r="IZD159" s="55"/>
      <c r="IZE159" s="54"/>
      <c r="IZF159" s="56"/>
      <c r="IZG159" s="57"/>
      <c r="IZH159" s="54"/>
      <c r="IZI159" s="54"/>
      <c r="IZJ159" s="54"/>
      <c r="IZK159" s="58"/>
      <c r="IZL159" s="58"/>
      <c r="IZM159" s="58"/>
      <c r="IZN159" s="58"/>
      <c r="IZO159" s="59"/>
      <c r="IZP159" s="60"/>
      <c r="IZQ159" s="54"/>
      <c r="IZR159" s="54"/>
      <c r="IZS159" s="36"/>
      <c r="IZT159" s="55"/>
      <c r="IZU159" s="54"/>
      <c r="IZV159" s="56"/>
      <c r="IZW159" s="57"/>
      <c r="IZX159" s="54"/>
      <c r="IZY159" s="54"/>
      <c r="IZZ159" s="54"/>
      <c r="JAA159" s="58"/>
      <c r="JAB159" s="58"/>
      <c r="JAC159" s="58"/>
      <c r="JAD159" s="58"/>
      <c r="JAE159" s="59"/>
      <c r="JAF159" s="60"/>
      <c r="JAG159" s="54"/>
      <c r="JAH159" s="54"/>
      <c r="JAI159" s="36"/>
      <c r="JAJ159" s="55"/>
      <c r="JAK159" s="54"/>
      <c r="JAL159" s="56"/>
      <c r="JAM159" s="57"/>
      <c r="JAN159" s="54"/>
      <c r="JAO159" s="54"/>
      <c r="JAP159" s="54"/>
      <c r="JAQ159" s="58"/>
      <c r="JAR159" s="58"/>
      <c r="JAS159" s="58"/>
      <c r="JAT159" s="58"/>
      <c r="JAU159" s="59"/>
      <c r="JAV159" s="60"/>
      <c r="JAW159" s="54"/>
      <c r="JAX159" s="54"/>
      <c r="JAY159" s="36"/>
      <c r="JAZ159" s="55"/>
      <c r="JBA159" s="54"/>
      <c r="JBB159" s="56"/>
      <c r="JBC159" s="57"/>
      <c r="JBD159" s="54"/>
      <c r="JBE159" s="54"/>
      <c r="JBF159" s="54"/>
      <c r="JBG159" s="58"/>
      <c r="JBH159" s="58"/>
      <c r="JBI159" s="58"/>
      <c r="JBJ159" s="58"/>
      <c r="JBK159" s="59"/>
      <c r="JBL159" s="60"/>
      <c r="JBM159" s="54"/>
      <c r="JBN159" s="54"/>
      <c r="JBO159" s="36"/>
      <c r="JBP159" s="55"/>
      <c r="JBQ159" s="54"/>
      <c r="JBR159" s="56"/>
      <c r="JBS159" s="57"/>
      <c r="JBT159" s="54"/>
      <c r="JBU159" s="54"/>
      <c r="JBV159" s="54"/>
      <c r="JBW159" s="58"/>
      <c r="JBX159" s="58"/>
      <c r="JBY159" s="58"/>
      <c r="JBZ159" s="58"/>
      <c r="JCA159" s="59"/>
      <c r="JCB159" s="60"/>
      <c r="JCC159" s="54"/>
      <c r="JCD159" s="54"/>
      <c r="JCE159" s="36"/>
      <c r="JCF159" s="55"/>
      <c r="JCG159" s="54"/>
      <c r="JCH159" s="56"/>
      <c r="JCI159" s="57"/>
      <c r="JCJ159" s="54"/>
      <c r="JCK159" s="54"/>
      <c r="JCL159" s="54"/>
      <c r="JCM159" s="58"/>
      <c r="JCN159" s="58"/>
      <c r="JCO159" s="58"/>
      <c r="JCP159" s="58"/>
      <c r="JCQ159" s="59"/>
      <c r="JCR159" s="60"/>
      <c r="JCS159" s="54"/>
      <c r="JCT159" s="54"/>
      <c r="JCU159" s="36"/>
      <c r="JCV159" s="55"/>
      <c r="JCW159" s="54"/>
      <c r="JCX159" s="56"/>
      <c r="JCY159" s="57"/>
      <c r="JCZ159" s="54"/>
      <c r="JDA159" s="54"/>
      <c r="JDB159" s="54"/>
      <c r="JDC159" s="58"/>
      <c r="JDD159" s="58"/>
      <c r="JDE159" s="58"/>
      <c r="JDF159" s="58"/>
      <c r="JDG159" s="59"/>
      <c r="JDH159" s="60"/>
      <c r="JDI159" s="54"/>
      <c r="JDJ159" s="54"/>
      <c r="JDK159" s="36"/>
      <c r="JDL159" s="55"/>
      <c r="JDM159" s="54"/>
      <c r="JDN159" s="56"/>
      <c r="JDO159" s="57"/>
      <c r="JDP159" s="54"/>
      <c r="JDQ159" s="54"/>
      <c r="JDR159" s="54"/>
      <c r="JDS159" s="58"/>
      <c r="JDT159" s="58"/>
      <c r="JDU159" s="58"/>
      <c r="JDV159" s="58"/>
      <c r="JDW159" s="59"/>
      <c r="JDX159" s="60"/>
      <c r="JDY159" s="54"/>
      <c r="JDZ159" s="54"/>
      <c r="JEA159" s="36"/>
      <c r="JEB159" s="55"/>
      <c r="JEC159" s="54"/>
      <c r="JED159" s="56"/>
      <c r="JEE159" s="57"/>
      <c r="JEF159" s="54"/>
      <c r="JEG159" s="54"/>
      <c r="JEH159" s="54"/>
      <c r="JEI159" s="58"/>
      <c r="JEJ159" s="58"/>
      <c r="JEK159" s="58"/>
      <c r="JEL159" s="58"/>
      <c r="JEM159" s="59"/>
      <c r="JEN159" s="60"/>
      <c r="JEO159" s="54"/>
      <c r="JEP159" s="54"/>
      <c r="JEQ159" s="36"/>
      <c r="JER159" s="55"/>
      <c r="JES159" s="54"/>
      <c r="JET159" s="56"/>
      <c r="JEU159" s="57"/>
      <c r="JEV159" s="54"/>
      <c r="JEW159" s="54"/>
      <c r="JEX159" s="54"/>
      <c r="JEY159" s="58"/>
      <c r="JEZ159" s="58"/>
      <c r="JFA159" s="58"/>
      <c r="JFB159" s="58"/>
      <c r="JFC159" s="59"/>
      <c r="JFD159" s="60"/>
      <c r="JFE159" s="54"/>
      <c r="JFF159" s="54"/>
      <c r="JFG159" s="36"/>
      <c r="JFH159" s="55"/>
      <c r="JFI159" s="54"/>
      <c r="JFJ159" s="56"/>
      <c r="JFK159" s="57"/>
      <c r="JFL159" s="54"/>
      <c r="JFM159" s="54"/>
      <c r="JFN159" s="54"/>
      <c r="JFO159" s="58"/>
      <c r="JFP159" s="58"/>
      <c r="JFQ159" s="58"/>
      <c r="JFR159" s="58"/>
      <c r="JFS159" s="59"/>
      <c r="JFT159" s="60"/>
      <c r="JFU159" s="54"/>
      <c r="JFV159" s="54"/>
      <c r="JFW159" s="36"/>
      <c r="JFX159" s="55"/>
      <c r="JFY159" s="54"/>
      <c r="JFZ159" s="56"/>
      <c r="JGA159" s="57"/>
      <c r="JGB159" s="54"/>
      <c r="JGC159" s="54"/>
      <c r="JGD159" s="54"/>
      <c r="JGE159" s="58"/>
      <c r="JGF159" s="58"/>
      <c r="JGG159" s="58"/>
      <c r="JGH159" s="58"/>
      <c r="JGI159" s="59"/>
      <c r="JGJ159" s="60"/>
      <c r="JGK159" s="54"/>
      <c r="JGL159" s="54"/>
      <c r="JGM159" s="36"/>
      <c r="JGN159" s="55"/>
      <c r="JGO159" s="54"/>
      <c r="JGP159" s="56"/>
      <c r="JGQ159" s="57"/>
      <c r="JGR159" s="54"/>
      <c r="JGS159" s="54"/>
      <c r="JGT159" s="54"/>
      <c r="JGU159" s="58"/>
      <c r="JGV159" s="58"/>
      <c r="JGW159" s="58"/>
      <c r="JGX159" s="58"/>
      <c r="JGY159" s="59"/>
      <c r="JGZ159" s="60"/>
      <c r="JHA159" s="54"/>
      <c r="JHB159" s="54"/>
      <c r="JHC159" s="36"/>
      <c r="JHD159" s="55"/>
      <c r="JHE159" s="54"/>
      <c r="JHF159" s="56"/>
      <c r="JHG159" s="57"/>
      <c r="JHH159" s="54"/>
      <c r="JHI159" s="54"/>
      <c r="JHJ159" s="54"/>
      <c r="JHK159" s="58"/>
      <c r="JHL159" s="58"/>
      <c r="JHM159" s="58"/>
      <c r="JHN159" s="58"/>
      <c r="JHO159" s="59"/>
      <c r="JHP159" s="60"/>
      <c r="JHQ159" s="54"/>
      <c r="JHR159" s="54"/>
      <c r="JHS159" s="36"/>
      <c r="JHT159" s="55"/>
      <c r="JHU159" s="54"/>
      <c r="JHV159" s="56"/>
      <c r="JHW159" s="57"/>
      <c r="JHX159" s="54"/>
      <c r="JHY159" s="54"/>
      <c r="JHZ159" s="54"/>
      <c r="JIA159" s="58"/>
      <c r="JIB159" s="58"/>
      <c r="JIC159" s="58"/>
      <c r="JID159" s="58"/>
      <c r="JIE159" s="59"/>
      <c r="JIF159" s="60"/>
      <c r="JIG159" s="54"/>
      <c r="JIH159" s="54"/>
      <c r="JII159" s="36"/>
      <c r="JIJ159" s="55"/>
      <c r="JIK159" s="54"/>
      <c r="JIL159" s="56"/>
      <c r="JIM159" s="57"/>
      <c r="JIN159" s="54"/>
      <c r="JIO159" s="54"/>
      <c r="JIP159" s="54"/>
      <c r="JIQ159" s="58"/>
      <c r="JIR159" s="58"/>
      <c r="JIS159" s="58"/>
      <c r="JIT159" s="58"/>
      <c r="JIU159" s="59"/>
      <c r="JIV159" s="60"/>
      <c r="JIW159" s="54"/>
      <c r="JIX159" s="54"/>
      <c r="JIY159" s="36"/>
      <c r="JIZ159" s="55"/>
      <c r="JJA159" s="54"/>
      <c r="JJB159" s="56"/>
      <c r="JJC159" s="57"/>
      <c r="JJD159" s="54"/>
      <c r="JJE159" s="54"/>
      <c r="JJF159" s="54"/>
      <c r="JJG159" s="58"/>
      <c r="JJH159" s="58"/>
      <c r="JJI159" s="58"/>
      <c r="JJJ159" s="58"/>
      <c r="JJK159" s="59"/>
      <c r="JJL159" s="60"/>
      <c r="JJM159" s="54"/>
      <c r="JJN159" s="54"/>
      <c r="JJO159" s="36"/>
      <c r="JJP159" s="55"/>
      <c r="JJQ159" s="54"/>
      <c r="JJR159" s="56"/>
      <c r="JJS159" s="57"/>
      <c r="JJT159" s="54"/>
      <c r="JJU159" s="54"/>
      <c r="JJV159" s="54"/>
      <c r="JJW159" s="58"/>
      <c r="JJX159" s="58"/>
      <c r="JJY159" s="58"/>
      <c r="JJZ159" s="58"/>
      <c r="JKA159" s="59"/>
      <c r="JKB159" s="60"/>
      <c r="JKC159" s="54"/>
      <c r="JKD159" s="54"/>
      <c r="JKE159" s="36"/>
      <c r="JKF159" s="55"/>
      <c r="JKG159" s="54"/>
      <c r="JKH159" s="56"/>
      <c r="JKI159" s="57"/>
      <c r="JKJ159" s="54"/>
      <c r="JKK159" s="54"/>
      <c r="JKL159" s="54"/>
      <c r="JKM159" s="58"/>
      <c r="JKN159" s="58"/>
      <c r="JKO159" s="58"/>
      <c r="JKP159" s="58"/>
      <c r="JKQ159" s="59"/>
      <c r="JKR159" s="60"/>
      <c r="JKS159" s="54"/>
      <c r="JKT159" s="54"/>
      <c r="JKU159" s="36"/>
      <c r="JKV159" s="55"/>
      <c r="JKW159" s="54"/>
      <c r="JKX159" s="56"/>
      <c r="JKY159" s="57"/>
      <c r="JKZ159" s="54"/>
      <c r="JLA159" s="54"/>
      <c r="JLB159" s="54"/>
      <c r="JLC159" s="58"/>
      <c r="JLD159" s="58"/>
      <c r="JLE159" s="58"/>
      <c r="JLF159" s="58"/>
      <c r="JLG159" s="59"/>
      <c r="JLH159" s="60"/>
      <c r="JLI159" s="54"/>
      <c r="JLJ159" s="54"/>
      <c r="JLK159" s="36"/>
      <c r="JLL159" s="55"/>
      <c r="JLM159" s="54"/>
      <c r="JLN159" s="56"/>
      <c r="JLO159" s="57"/>
      <c r="JLP159" s="54"/>
      <c r="JLQ159" s="54"/>
      <c r="JLR159" s="54"/>
      <c r="JLS159" s="58"/>
      <c r="JLT159" s="58"/>
      <c r="JLU159" s="58"/>
      <c r="JLV159" s="58"/>
      <c r="JLW159" s="59"/>
      <c r="JLX159" s="60"/>
      <c r="JLY159" s="54"/>
      <c r="JLZ159" s="54"/>
      <c r="JMA159" s="36"/>
      <c r="JMB159" s="55"/>
      <c r="JMC159" s="54"/>
      <c r="JMD159" s="56"/>
      <c r="JME159" s="57"/>
      <c r="JMF159" s="54"/>
      <c r="JMG159" s="54"/>
      <c r="JMH159" s="54"/>
      <c r="JMI159" s="58"/>
      <c r="JMJ159" s="58"/>
      <c r="JMK159" s="58"/>
      <c r="JML159" s="58"/>
      <c r="JMM159" s="59"/>
      <c r="JMN159" s="60"/>
      <c r="JMO159" s="54"/>
      <c r="JMP159" s="54"/>
      <c r="JMQ159" s="36"/>
      <c r="JMR159" s="55"/>
      <c r="JMS159" s="54"/>
      <c r="JMT159" s="56"/>
      <c r="JMU159" s="57"/>
      <c r="JMV159" s="54"/>
      <c r="JMW159" s="54"/>
      <c r="JMX159" s="54"/>
      <c r="JMY159" s="58"/>
      <c r="JMZ159" s="58"/>
      <c r="JNA159" s="58"/>
      <c r="JNB159" s="58"/>
      <c r="JNC159" s="59"/>
      <c r="JND159" s="60"/>
      <c r="JNE159" s="54"/>
      <c r="JNF159" s="54"/>
      <c r="JNG159" s="36"/>
      <c r="JNH159" s="55"/>
      <c r="JNI159" s="54"/>
      <c r="JNJ159" s="56"/>
      <c r="JNK159" s="57"/>
      <c r="JNL159" s="54"/>
      <c r="JNM159" s="54"/>
      <c r="JNN159" s="54"/>
      <c r="JNO159" s="58"/>
      <c r="JNP159" s="58"/>
      <c r="JNQ159" s="58"/>
      <c r="JNR159" s="58"/>
      <c r="JNS159" s="59"/>
      <c r="JNT159" s="60"/>
      <c r="JNU159" s="54"/>
      <c r="JNV159" s="54"/>
      <c r="JNW159" s="36"/>
      <c r="JNX159" s="55"/>
      <c r="JNY159" s="54"/>
      <c r="JNZ159" s="56"/>
      <c r="JOA159" s="57"/>
      <c r="JOB159" s="54"/>
      <c r="JOC159" s="54"/>
      <c r="JOD159" s="54"/>
      <c r="JOE159" s="58"/>
      <c r="JOF159" s="58"/>
      <c r="JOG159" s="58"/>
      <c r="JOH159" s="58"/>
      <c r="JOI159" s="59"/>
      <c r="JOJ159" s="60"/>
      <c r="JOK159" s="54"/>
      <c r="JOL159" s="54"/>
      <c r="JOM159" s="36"/>
      <c r="JON159" s="55"/>
      <c r="JOO159" s="54"/>
      <c r="JOP159" s="56"/>
      <c r="JOQ159" s="57"/>
      <c r="JOR159" s="54"/>
      <c r="JOS159" s="54"/>
      <c r="JOT159" s="54"/>
      <c r="JOU159" s="58"/>
      <c r="JOV159" s="58"/>
      <c r="JOW159" s="58"/>
      <c r="JOX159" s="58"/>
      <c r="JOY159" s="59"/>
      <c r="JOZ159" s="60"/>
      <c r="JPA159" s="54"/>
      <c r="JPB159" s="54"/>
      <c r="JPC159" s="36"/>
      <c r="JPD159" s="55"/>
      <c r="JPE159" s="54"/>
      <c r="JPF159" s="56"/>
      <c r="JPG159" s="57"/>
      <c r="JPH159" s="54"/>
      <c r="JPI159" s="54"/>
      <c r="JPJ159" s="54"/>
      <c r="JPK159" s="58"/>
      <c r="JPL159" s="58"/>
      <c r="JPM159" s="58"/>
      <c r="JPN159" s="58"/>
      <c r="JPO159" s="59"/>
      <c r="JPP159" s="60"/>
      <c r="JPQ159" s="54"/>
      <c r="JPR159" s="54"/>
      <c r="JPS159" s="36"/>
      <c r="JPT159" s="55"/>
      <c r="JPU159" s="54"/>
      <c r="JPV159" s="56"/>
      <c r="JPW159" s="57"/>
      <c r="JPX159" s="54"/>
      <c r="JPY159" s="54"/>
      <c r="JPZ159" s="54"/>
      <c r="JQA159" s="58"/>
      <c r="JQB159" s="58"/>
      <c r="JQC159" s="58"/>
      <c r="JQD159" s="58"/>
      <c r="JQE159" s="59"/>
      <c r="JQF159" s="60"/>
      <c r="JQG159" s="54"/>
      <c r="JQH159" s="54"/>
      <c r="JQI159" s="36"/>
      <c r="JQJ159" s="55"/>
      <c r="JQK159" s="54"/>
      <c r="JQL159" s="56"/>
      <c r="JQM159" s="57"/>
      <c r="JQN159" s="54"/>
      <c r="JQO159" s="54"/>
      <c r="JQP159" s="54"/>
      <c r="JQQ159" s="58"/>
      <c r="JQR159" s="58"/>
      <c r="JQS159" s="58"/>
      <c r="JQT159" s="58"/>
      <c r="JQU159" s="59"/>
      <c r="JQV159" s="60"/>
      <c r="JQW159" s="54"/>
      <c r="JQX159" s="54"/>
      <c r="JQY159" s="36"/>
      <c r="JQZ159" s="55"/>
      <c r="JRA159" s="54"/>
      <c r="JRB159" s="56"/>
      <c r="JRC159" s="57"/>
      <c r="JRD159" s="54"/>
      <c r="JRE159" s="54"/>
      <c r="JRF159" s="54"/>
      <c r="JRG159" s="58"/>
      <c r="JRH159" s="58"/>
      <c r="JRI159" s="58"/>
      <c r="JRJ159" s="58"/>
      <c r="JRK159" s="59"/>
      <c r="JRL159" s="60"/>
      <c r="JRM159" s="54"/>
      <c r="JRN159" s="54"/>
      <c r="JRO159" s="36"/>
      <c r="JRP159" s="55"/>
      <c r="JRQ159" s="54"/>
      <c r="JRR159" s="56"/>
      <c r="JRS159" s="57"/>
      <c r="JRT159" s="54"/>
      <c r="JRU159" s="54"/>
      <c r="JRV159" s="54"/>
      <c r="JRW159" s="58"/>
      <c r="JRX159" s="58"/>
      <c r="JRY159" s="58"/>
      <c r="JRZ159" s="58"/>
      <c r="JSA159" s="59"/>
      <c r="JSB159" s="60"/>
      <c r="JSC159" s="54"/>
      <c r="JSD159" s="54"/>
      <c r="JSE159" s="36"/>
      <c r="JSF159" s="55"/>
      <c r="JSG159" s="54"/>
      <c r="JSH159" s="56"/>
      <c r="JSI159" s="57"/>
      <c r="JSJ159" s="54"/>
      <c r="JSK159" s="54"/>
      <c r="JSL159" s="54"/>
      <c r="JSM159" s="58"/>
      <c r="JSN159" s="58"/>
      <c r="JSO159" s="58"/>
      <c r="JSP159" s="58"/>
      <c r="JSQ159" s="59"/>
      <c r="JSR159" s="60"/>
      <c r="JSS159" s="54"/>
      <c r="JST159" s="54"/>
      <c r="JSU159" s="36"/>
      <c r="JSV159" s="55"/>
      <c r="JSW159" s="54"/>
      <c r="JSX159" s="56"/>
      <c r="JSY159" s="57"/>
      <c r="JSZ159" s="54"/>
      <c r="JTA159" s="54"/>
      <c r="JTB159" s="54"/>
      <c r="JTC159" s="58"/>
      <c r="JTD159" s="58"/>
      <c r="JTE159" s="58"/>
      <c r="JTF159" s="58"/>
      <c r="JTG159" s="59"/>
      <c r="JTH159" s="60"/>
      <c r="JTI159" s="54"/>
      <c r="JTJ159" s="54"/>
      <c r="JTK159" s="36"/>
      <c r="JTL159" s="55"/>
      <c r="JTM159" s="54"/>
      <c r="JTN159" s="56"/>
      <c r="JTO159" s="57"/>
      <c r="JTP159" s="54"/>
      <c r="JTQ159" s="54"/>
      <c r="JTR159" s="54"/>
      <c r="JTS159" s="58"/>
      <c r="JTT159" s="58"/>
      <c r="JTU159" s="58"/>
      <c r="JTV159" s="58"/>
      <c r="JTW159" s="59"/>
      <c r="JTX159" s="60"/>
      <c r="JTY159" s="54"/>
      <c r="JTZ159" s="54"/>
      <c r="JUA159" s="36"/>
      <c r="JUB159" s="55"/>
      <c r="JUC159" s="54"/>
      <c r="JUD159" s="56"/>
      <c r="JUE159" s="57"/>
      <c r="JUF159" s="54"/>
      <c r="JUG159" s="54"/>
      <c r="JUH159" s="54"/>
      <c r="JUI159" s="58"/>
      <c r="JUJ159" s="58"/>
      <c r="JUK159" s="58"/>
      <c r="JUL159" s="58"/>
      <c r="JUM159" s="59"/>
      <c r="JUN159" s="60"/>
      <c r="JUO159" s="54"/>
      <c r="JUP159" s="54"/>
      <c r="JUQ159" s="36"/>
      <c r="JUR159" s="55"/>
      <c r="JUS159" s="54"/>
      <c r="JUT159" s="56"/>
      <c r="JUU159" s="57"/>
      <c r="JUV159" s="54"/>
      <c r="JUW159" s="54"/>
      <c r="JUX159" s="54"/>
      <c r="JUY159" s="58"/>
      <c r="JUZ159" s="58"/>
      <c r="JVA159" s="58"/>
      <c r="JVB159" s="58"/>
      <c r="JVC159" s="59"/>
      <c r="JVD159" s="60"/>
      <c r="JVE159" s="54"/>
      <c r="JVF159" s="54"/>
      <c r="JVG159" s="36"/>
      <c r="JVH159" s="55"/>
      <c r="JVI159" s="54"/>
      <c r="JVJ159" s="56"/>
      <c r="JVK159" s="57"/>
      <c r="JVL159" s="54"/>
      <c r="JVM159" s="54"/>
      <c r="JVN159" s="54"/>
      <c r="JVO159" s="58"/>
      <c r="JVP159" s="58"/>
      <c r="JVQ159" s="58"/>
      <c r="JVR159" s="58"/>
      <c r="JVS159" s="59"/>
      <c r="JVT159" s="60"/>
      <c r="JVU159" s="54"/>
      <c r="JVV159" s="54"/>
      <c r="JVW159" s="36"/>
      <c r="JVX159" s="55"/>
      <c r="JVY159" s="54"/>
      <c r="JVZ159" s="56"/>
      <c r="JWA159" s="57"/>
      <c r="JWB159" s="54"/>
      <c r="JWC159" s="54"/>
      <c r="JWD159" s="54"/>
      <c r="JWE159" s="58"/>
      <c r="JWF159" s="58"/>
      <c r="JWG159" s="58"/>
      <c r="JWH159" s="58"/>
      <c r="JWI159" s="59"/>
      <c r="JWJ159" s="60"/>
      <c r="JWK159" s="54"/>
      <c r="JWL159" s="54"/>
      <c r="JWM159" s="36"/>
      <c r="JWN159" s="55"/>
      <c r="JWO159" s="54"/>
      <c r="JWP159" s="56"/>
      <c r="JWQ159" s="57"/>
      <c r="JWR159" s="54"/>
      <c r="JWS159" s="54"/>
      <c r="JWT159" s="54"/>
      <c r="JWU159" s="58"/>
      <c r="JWV159" s="58"/>
      <c r="JWW159" s="58"/>
      <c r="JWX159" s="58"/>
      <c r="JWY159" s="59"/>
      <c r="JWZ159" s="60"/>
      <c r="JXA159" s="54"/>
      <c r="JXB159" s="54"/>
      <c r="JXC159" s="36"/>
      <c r="JXD159" s="55"/>
      <c r="JXE159" s="54"/>
      <c r="JXF159" s="56"/>
      <c r="JXG159" s="57"/>
      <c r="JXH159" s="54"/>
      <c r="JXI159" s="54"/>
      <c r="JXJ159" s="54"/>
      <c r="JXK159" s="58"/>
      <c r="JXL159" s="58"/>
      <c r="JXM159" s="58"/>
      <c r="JXN159" s="58"/>
      <c r="JXO159" s="59"/>
      <c r="JXP159" s="60"/>
      <c r="JXQ159" s="54"/>
      <c r="JXR159" s="54"/>
      <c r="JXS159" s="36"/>
      <c r="JXT159" s="55"/>
      <c r="JXU159" s="54"/>
      <c r="JXV159" s="56"/>
      <c r="JXW159" s="57"/>
      <c r="JXX159" s="54"/>
      <c r="JXY159" s="54"/>
      <c r="JXZ159" s="54"/>
      <c r="JYA159" s="58"/>
      <c r="JYB159" s="58"/>
      <c r="JYC159" s="58"/>
      <c r="JYD159" s="58"/>
      <c r="JYE159" s="59"/>
      <c r="JYF159" s="60"/>
      <c r="JYG159" s="54"/>
      <c r="JYH159" s="54"/>
      <c r="JYI159" s="36"/>
      <c r="JYJ159" s="55"/>
      <c r="JYK159" s="54"/>
      <c r="JYL159" s="56"/>
      <c r="JYM159" s="57"/>
      <c r="JYN159" s="54"/>
      <c r="JYO159" s="54"/>
      <c r="JYP159" s="54"/>
      <c r="JYQ159" s="58"/>
      <c r="JYR159" s="58"/>
      <c r="JYS159" s="58"/>
      <c r="JYT159" s="58"/>
      <c r="JYU159" s="59"/>
      <c r="JYV159" s="60"/>
      <c r="JYW159" s="54"/>
      <c r="JYX159" s="54"/>
      <c r="JYY159" s="36"/>
      <c r="JYZ159" s="55"/>
      <c r="JZA159" s="54"/>
      <c r="JZB159" s="56"/>
      <c r="JZC159" s="57"/>
      <c r="JZD159" s="54"/>
      <c r="JZE159" s="54"/>
      <c r="JZF159" s="54"/>
      <c r="JZG159" s="58"/>
      <c r="JZH159" s="58"/>
      <c r="JZI159" s="58"/>
      <c r="JZJ159" s="58"/>
      <c r="JZK159" s="59"/>
      <c r="JZL159" s="60"/>
      <c r="JZM159" s="54"/>
      <c r="JZN159" s="54"/>
      <c r="JZO159" s="36"/>
      <c r="JZP159" s="55"/>
      <c r="JZQ159" s="54"/>
      <c r="JZR159" s="56"/>
      <c r="JZS159" s="57"/>
      <c r="JZT159" s="54"/>
      <c r="JZU159" s="54"/>
      <c r="JZV159" s="54"/>
      <c r="JZW159" s="58"/>
      <c r="JZX159" s="58"/>
      <c r="JZY159" s="58"/>
      <c r="JZZ159" s="58"/>
      <c r="KAA159" s="59"/>
      <c r="KAB159" s="60"/>
      <c r="KAC159" s="54"/>
      <c r="KAD159" s="54"/>
      <c r="KAE159" s="36"/>
      <c r="KAF159" s="55"/>
      <c r="KAG159" s="54"/>
      <c r="KAH159" s="56"/>
      <c r="KAI159" s="57"/>
      <c r="KAJ159" s="54"/>
      <c r="KAK159" s="54"/>
      <c r="KAL159" s="54"/>
      <c r="KAM159" s="58"/>
      <c r="KAN159" s="58"/>
      <c r="KAO159" s="58"/>
      <c r="KAP159" s="58"/>
      <c r="KAQ159" s="59"/>
      <c r="KAR159" s="60"/>
      <c r="KAS159" s="54"/>
      <c r="KAT159" s="54"/>
      <c r="KAU159" s="36"/>
      <c r="KAV159" s="55"/>
      <c r="KAW159" s="54"/>
      <c r="KAX159" s="56"/>
      <c r="KAY159" s="57"/>
      <c r="KAZ159" s="54"/>
      <c r="KBA159" s="54"/>
      <c r="KBB159" s="54"/>
      <c r="KBC159" s="58"/>
      <c r="KBD159" s="58"/>
      <c r="KBE159" s="58"/>
      <c r="KBF159" s="58"/>
      <c r="KBG159" s="59"/>
      <c r="KBH159" s="60"/>
      <c r="KBI159" s="54"/>
      <c r="KBJ159" s="54"/>
      <c r="KBK159" s="36"/>
      <c r="KBL159" s="55"/>
      <c r="KBM159" s="54"/>
      <c r="KBN159" s="56"/>
      <c r="KBO159" s="57"/>
      <c r="KBP159" s="54"/>
      <c r="KBQ159" s="54"/>
      <c r="KBR159" s="54"/>
      <c r="KBS159" s="58"/>
      <c r="KBT159" s="58"/>
      <c r="KBU159" s="58"/>
      <c r="KBV159" s="58"/>
      <c r="KBW159" s="59"/>
      <c r="KBX159" s="60"/>
      <c r="KBY159" s="54"/>
      <c r="KBZ159" s="54"/>
      <c r="KCA159" s="36"/>
      <c r="KCB159" s="55"/>
      <c r="KCC159" s="54"/>
      <c r="KCD159" s="56"/>
      <c r="KCE159" s="57"/>
      <c r="KCF159" s="54"/>
      <c r="KCG159" s="54"/>
      <c r="KCH159" s="54"/>
      <c r="KCI159" s="58"/>
      <c r="KCJ159" s="58"/>
      <c r="KCK159" s="58"/>
      <c r="KCL159" s="58"/>
      <c r="KCM159" s="59"/>
      <c r="KCN159" s="60"/>
      <c r="KCO159" s="54"/>
      <c r="KCP159" s="54"/>
      <c r="KCQ159" s="36"/>
      <c r="KCR159" s="55"/>
      <c r="KCS159" s="54"/>
      <c r="KCT159" s="56"/>
      <c r="KCU159" s="57"/>
      <c r="KCV159" s="54"/>
      <c r="KCW159" s="54"/>
      <c r="KCX159" s="54"/>
      <c r="KCY159" s="58"/>
      <c r="KCZ159" s="58"/>
      <c r="KDA159" s="58"/>
      <c r="KDB159" s="58"/>
      <c r="KDC159" s="59"/>
      <c r="KDD159" s="60"/>
      <c r="KDE159" s="54"/>
      <c r="KDF159" s="54"/>
      <c r="KDG159" s="36"/>
      <c r="KDH159" s="55"/>
      <c r="KDI159" s="54"/>
      <c r="KDJ159" s="56"/>
      <c r="KDK159" s="57"/>
      <c r="KDL159" s="54"/>
      <c r="KDM159" s="54"/>
      <c r="KDN159" s="54"/>
      <c r="KDO159" s="58"/>
      <c r="KDP159" s="58"/>
      <c r="KDQ159" s="58"/>
      <c r="KDR159" s="58"/>
      <c r="KDS159" s="59"/>
      <c r="KDT159" s="60"/>
      <c r="KDU159" s="54"/>
      <c r="KDV159" s="54"/>
      <c r="KDW159" s="36"/>
      <c r="KDX159" s="55"/>
      <c r="KDY159" s="54"/>
      <c r="KDZ159" s="56"/>
      <c r="KEA159" s="57"/>
      <c r="KEB159" s="54"/>
      <c r="KEC159" s="54"/>
      <c r="KED159" s="54"/>
      <c r="KEE159" s="58"/>
      <c r="KEF159" s="58"/>
      <c r="KEG159" s="58"/>
      <c r="KEH159" s="58"/>
      <c r="KEI159" s="59"/>
      <c r="KEJ159" s="60"/>
      <c r="KEK159" s="54"/>
      <c r="KEL159" s="54"/>
      <c r="KEM159" s="36"/>
      <c r="KEN159" s="55"/>
      <c r="KEO159" s="54"/>
      <c r="KEP159" s="56"/>
      <c r="KEQ159" s="57"/>
      <c r="KER159" s="54"/>
      <c r="KES159" s="54"/>
      <c r="KET159" s="54"/>
      <c r="KEU159" s="58"/>
      <c r="KEV159" s="58"/>
      <c r="KEW159" s="58"/>
      <c r="KEX159" s="58"/>
      <c r="KEY159" s="59"/>
      <c r="KEZ159" s="60"/>
      <c r="KFA159" s="54"/>
      <c r="KFB159" s="54"/>
      <c r="KFC159" s="36"/>
      <c r="KFD159" s="55"/>
      <c r="KFE159" s="54"/>
      <c r="KFF159" s="56"/>
      <c r="KFG159" s="57"/>
      <c r="KFH159" s="54"/>
      <c r="KFI159" s="54"/>
      <c r="KFJ159" s="54"/>
      <c r="KFK159" s="58"/>
      <c r="KFL159" s="58"/>
      <c r="KFM159" s="58"/>
      <c r="KFN159" s="58"/>
      <c r="KFO159" s="59"/>
      <c r="KFP159" s="60"/>
      <c r="KFQ159" s="54"/>
      <c r="KFR159" s="54"/>
      <c r="KFS159" s="36"/>
      <c r="KFT159" s="55"/>
      <c r="KFU159" s="54"/>
      <c r="KFV159" s="56"/>
      <c r="KFW159" s="57"/>
      <c r="KFX159" s="54"/>
      <c r="KFY159" s="54"/>
      <c r="KFZ159" s="54"/>
      <c r="KGA159" s="58"/>
      <c r="KGB159" s="58"/>
      <c r="KGC159" s="58"/>
      <c r="KGD159" s="58"/>
      <c r="KGE159" s="59"/>
      <c r="KGF159" s="60"/>
      <c r="KGG159" s="54"/>
      <c r="KGH159" s="54"/>
      <c r="KGI159" s="36"/>
      <c r="KGJ159" s="55"/>
      <c r="KGK159" s="54"/>
      <c r="KGL159" s="56"/>
      <c r="KGM159" s="57"/>
      <c r="KGN159" s="54"/>
      <c r="KGO159" s="54"/>
      <c r="KGP159" s="54"/>
      <c r="KGQ159" s="58"/>
      <c r="KGR159" s="58"/>
      <c r="KGS159" s="58"/>
      <c r="KGT159" s="58"/>
      <c r="KGU159" s="59"/>
      <c r="KGV159" s="60"/>
      <c r="KGW159" s="54"/>
      <c r="KGX159" s="54"/>
      <c r="KGY159" s="36"/>
      <c r="KGZ159" s="55"/>
      <c r="KHA159" s="54"/>
      <c r="KHB159" s="56"/>
      <c r="KHC159" s="57"/>
      <c r="KHD159" s="54"/>
      <c r="KHE159" s="54"/>
      <c r="KHF159" s="54"/>
      <c r="KHG159" s="58"/>
      <c r="KHH159" s="58"/>
      <c r="KHI159" s="58"/>
      <c r="KHJ159" s="58"/>
      <c r="KHK159" s="59"/>
      <c r="KHL159" s="60"/>
      <c r="KHM159" s="54"/>
      <c r="KHN159" s="54"/>
      <c r="KHO159" s="36"/>
      <c r="KHP159" s="55"/>
      <c r="KHQ159" s="54"/>
      <c r="KHR159" s="56"/>
      <c r="KHS159" s="57"/>
      <c r="KHT159" s="54"/>
      <c r="KHU159" s="54"/>
      <c r="KHV159" s="54"/>
      <c r="KHW159" s="58"/>
      <c r="KHX159" s="58"/>
      <c r="KHY159" s="58"/>
      <c r="KHZ159" s="58"/>
      <c r="KIA159" s="59"/>
      <c r="KIB159" s="60"/>
      <c r="KIC159" s="54"/>
      <c r="KID159" s="54"/>
      <c r="KIE159" s="36"/>
      <c r="KIF159" s="55"/>
      <c r="KIG159" s="54"/>
      <c r="KIH159" s="56"/>
      <c r="KII159" s="57"/>
      <c r="KIJ159" s="54"/>
      <c r="KIK159" s="54"/>
      <c r="KIL159" s="54"/>
      <c r="KIM159" s="58"/>
      <c r="KIN159" s="58"/>
      <c r="KIO159" s="58"/>
      <c r="KIP159" s="58"/>
      <c r="KIQ159" s="59"/>
      <c r="KIR159" s="60"/>
      <c r="KIS159" s="54"/>
      <c r="KIT159" s="54"/>
      <c r="KIU159" s="36"/>
      <c r="KIV159" s="55"/>
      <c r="KIW159" s="54"/>
      <c r="KIX159" s="56"/>
      <c r="KIY159" s="57"/>
      <c r="KIZ159" s="54"/>
      <c r="KJA159" s="54"/>
      <c r="KJB159" s="54"/>
      <c r="KJC159" s="58"/>
      <c r="KJD159" s="58"/>
      <c r="KJE159" s="58"/>
      <c r="KJF159" s="58"/>
      <c r="KJG159" s="59"/>
      <c r="KJH159" s="60"/>
      <c r="KJI159" s="54"/>
      <c r="KJJ159" s="54"/>
      <c r="KJK159" s="36"/>
      <c r="KJL159" s="55"/>
      <c r="KJM159" s="54"/>
      <c r="KJN159" s="56"/>
      <c r="KJO159" s="57"/>
      <c r="KJP159" s="54"/>
      <c r="KJQ159" s="54"/>
      <c r="KJR159" s="54"/>
      <c r="KJS159" s="58"/>
      <c r="KJT159" s="58"/>
      <c r="KJU159" s="58"/>
      <c r="KJV159" s="58"/>
      <c r="KJW159" s="59"/>
      <c r="KJX159" s="60"/>
      <c r="KJY159" s="54"/>
      <c r="KJZ159" s="54"/>
      <c r="KKA159" s="36"/>
      <c r="KKB159" s="55"/>
      <c r="KKC159" s="54"/>
      <c r="KKD159" s="56"/>
      <c r="KKE159" s="57"/>
      <c r="KKF159" s="54"/>
      <c r="KKG159" s="54"/>
      <c r="KKH159" s="54"/>
      <c r="KKI159" s="58"/>
      <c r="KKJ159" s="58"/>
      <c r="KKK159" s="58"/>
      <c r="KKL159" s="58"/>
      <c r="KKM159" s="59"/>
      <c r="KKN159" s="60"/>
      <c r="KKO159" s="54"/>
      <c r="KKP159" s="54"/>
      <c r="KKQ159" s="36"/>
      <c r="KKR159" s="55"/>
      <c r="KKS159" s="54"/>
      <c r="KKT159" s="56"/>
      <c r="KKU159" s="57"/>
      <c r="KKV159" s="54"/>
      <c r="KKW159" s="54"/>
      <c r="KKX159" s="54"/>
      <c r="KKY159" s="58"/>
      <c r="KKZ159" s="58"/>
      <c r="KLA159" s="58"/>
      <c r="KLB159" s="58"/>
      <c r="KLC159" s="59"/>
      <c r="KLD159" s="60"/>
      <c r="KLE159" s="54"/>
      <c r="KLF159" s="54"/>
      <c r="KLG159" s="36"/>
      <c r="KLH159" s="55"/>
      <c r="KLI159" s="54"/>
      <c r="KLJ159" s="56"/>
      <c r="KLK159" s="57"/>
      <c r="KLL159" s="54"/>
      <c r="KLM159" s="54"/>
      <c r="KLN159" s="54"/>
      <c r="KLO159" s="58"/>
      <c r="KLP159" s="58"/>
      <c r="KLQ159" s="58"/>
      <c r="KLR159" s="58"/>
      <c r="KLS159" s="59"/>
      <c r="KLT159" s="60"/>
      <c r="KLU159" s="54"/>
      <c r="KLV159" s="54"/>
      <c r="KLW159" s="36"/>
      <c r="KLX159" s="55"/>
      <c r="KLY159" s="54"/>
      <c r="KLZ159" s="56"/>
      <c r="KMA159" s="57"/>
      <c r="KMB159" s="54"/>
      <c r="KMC159" s="54"/>
      <c r="KMD159" s="54"/>
      <c r="KME159" s="58"/>
      <c r="KMF159" s="58"/>
      <c r="KMG159" s="58"/>
      <c r="KMH159" s="58"/>
      <c r="KMI159" s="59"/>
      <c r="KMJ159" s="60"/>
      <c r="KMK159" s="54"/>
      <c r="KML159" s="54"/>
      <c r="KMM159" s="36"/>
      <c r="KMN159" s="55"/>
      <c r="KMO159" s="54"/>
      <c r="KMP159" s="56"/>
      <c r="KMQ159" s="57"/>
      <c r="KMR159" s="54"/>
      <c r="KMS159" s="54"/>
      <c r="KMT159" s="54"/>
      <c r="KMU159" s="58"/>
      <c r="KMV159" s="58"/>
      <c r="KMW159" s="58"/>
      <c r="KMX159" s="58"/>
      <c r="KMY159" s="59"/>
      <c r="KMZ159" s="60"/>
      <c r="KNA159" s="54"/>
      <c r="KNB159" s="54"/>
      <c r="KNC159" s="36"/>
      <c r="KND159" s="55"/>
      <c r="KNE159" s="54"/>
      <c r="KNF159" s="56"/>
      <c r="KNG159" s="57"/>
      <c r="KNH159" s="54"/>
      <c r="KNI159" s="54"/>
      <c r="KNJ159" s="54"/>
      <c r="KNK159" s="58"/>
      <c r="KNL159" s="58"/>
      <c r="KNM159" s="58"/>
      <c r="KNN159" s="58"/>
      <c r="KNO159" s="59"/>
      <c r="KNP159" s="60"/>
      <c r="KNQ159" s="54"/>
      <c r="KNR159" s="54"/>
      <c r="KNS159" s="36"/>
      <c r="KNT159" s="55"/>
      <c r="KNU159" s="54"/>
      <c r="KNV159" s="56"/>
      <c r="KNW159" s="57"/>
      <c r="KNX159" s="54"/>
      <c r="KNY159" s="54"/>
      <c r="KNZ159" s="54"/>
      <c r="KOA159" s="58"/>
      <c r="KOB159" s="58"/>
      <c r="KOC159" s="58"/>
      <c r="KOD159" s="58"/>
      <c r="KOE159" s="59"/>
      <c r="KOF159" s="60"/>
      <c r="KOG159" s="54"/>
      <c r="KOH159" s="54"/>
      <c r="KOI159" s="36"/>
      <c r="KOJ159" s="55"/>
      <c r="KOK159" s="54"/>
      <c r="KOL159" s="56"/>
      <c r="KOM159" s="57"/>
      <c r="KON159" s="54"/>
      <c r="KOO159" s="54"/>
      <c r="KOP159" s="54"/>
      <c r="KOQ159" s="58"/>
      <c r="KOR159" s="58"/>
      <c r="KOS159" s="58"/>
      <c r="KOT159" s="58"/>
      <c r="KOU159" s="59"/>
      <c r="KOV159" s="60"/>
      <c r="KOW159" s="54"/>
      <c r="KOX159" s="54"/>
      <c r="KOY159" s="36"/>
      <c r="KOZ159" s="55"/>
      <c r="KPA159" s="54"/>
      <c r="KPB159" s="56"/>
      <c r="KPC159" s="57"/>
      <c r="KPD159" s="54"/>
      <c r="KPE159" s="54"/>
      <c r="KPF159" s="54"/>
      <c r="KPG159" s="58"/>
      <c r="KPH159" s="58"/>
      <c r="KPI159" s="58"/>
      <c r="KPJ159" s="58"/>
      <c r="KPK159" s="59"/>
      <c r="KPL159" s="60"/>
      <c r="KPM159" s="54"/>
      <c r="KPN159" s="54"/>
      <c r="KPO159" s="36"/>
      <c r="KPP159" s="55"/>
      <c r="KPQ159" s="54"/>
      <c r="KPR159" s="56"/>
      <c r="KPS159" s="57"/>
      <c r="KPT159" s="54"/>
      <c r="KPU159" s="54"/>
      <c r="KPV159" s="54"/>
      <c r="KPW159" s="58"/>
      <c r="KPX159" s="58"/>
      <c r="KPY159" s="58"/>
      <c r="KPZ159" s="58"/>
      <c r="KQA159" s="59"/>
      <c r="KQB159" s="60"/>
      <c r="KQC159" s="54"/>
      <c r="KQD159" s="54"/>
      <c r="KQE159" s="36"/>
      <c r="KQF159" s="55"/>
      <c r="KQG159" s="54"/>
      <c r="KQH159" s="56"/>
      <c r="KQI159" s="57"/>
      <c r="KQJ159" s="54"/>
      <c r="KQK159" s="54"/>
      <c r="KQL159" s="54"/>
      <c r="KQM159" s="58"/>
      <c r="KQN159" s="58"/>
      <c r="KQO159" s="58"/>
      <c r="KQP159" s="58"/>
      <c r="KQQ159" s="59"/>
      <c r="KQR159" s="60"/>
      <c r="KQS159" s="54"/>
      <c r="KQT159" s="54"/>
      <c r="KQU159" s="36"/>
      <c r="KQV159" s="55"/>
      <c r="KQW159" s="54"/>
      <c r="KQX159" s="56"/>
      <c r="KQY159" s="57"/>
      <c r="KQZ159" s="54"/>
      <c r="KRA159" s="54"/>
      <c r="KRB159" s="54"/>
      <c r="KRC159" s="58"/>
      <c r="KRD159" s="58"/>
      <c r="KRE159" s="58"/>
      <c r="KRF159" s="58"/>
      <c r="KRG159" s="59"/>
      <c r="KRH159" s="60"/>
      <c r="KRI159" s="54"/>
      <c r="KRJ159" s="54"/>
      <c r="KRK159" s="36"/>
      <c r="KRL159" s="55"/>
      <c r="KRM159" s="54"/>
      <c r="KRN159" s="56"/>
      <c r="KRO159" s="57"/>
      <c r="KRP159" s="54"/>
      <c r="KRQ159" s="54"/>
      <c r="KRR159" s="54"/>
      <c r="KRS159" s="58"/>
      <c r="KRT159" s="58"/>
      <c r="KRU159" s="58"/>
      <c r="KRV159" s="58"/>
      <c r="KRW159" s="59"/>
      <c r="KRX159" s="60"/>
      <c r="KRY159" s="54"/>
      <c r="KRZ159" s="54"/>
      <c r="KSA159" s="36"/>
      <c r="KSB159" s="55"/>
      <c r="KSC159" s="54"/>
      <c r="KSD159" s="56"/>
      <c r="KSE159" s="57"/>
      <c r="KSF159" s="54"/>
      <c r="KSG159" s="54"/>
      <c r="KSH159" s="54"/>
      <c r="KSI159" s="58"/>
      <c r="KSJ159" s="58"/>
      <c r="KSK159" s="58"/>
      <c r="KSL159" s="58"/>
      <c r="KSM159" s="59"/>
      <c r="KSN159" s="60"/>
      <c r="KSO159" s="54"/>
      <c r="KSP159" s="54"/>
      <c r="KSQ159" s="36"/>
      <c r="KSR159" s="55"/>
      <c r="KSS159" s="54"/>
      <c r="KST159" s="56"/>
      <c r="KSU159" s="57"/>
      <c r="KSV159" s="54"/>
      <c r="KSW159" s="54"/>
      <c r="KSX159" s="54"/>
      <c r="KSY159" s="58"/>
      <c r="KSZ159" s="58"/>
      <c r="KTA159" s="58"/>
      <c r="KTB159" s="58"/>
      <c r="KTC159" s="59"/>
      <c r="KTD159" s="60"/>
      <c r="KTE159" s="54"/>
      <c r="KTF159" s="54"/>
      <c r="KTG159" s="36"/>
      <c r="KTH159" s="55"/>
      <c r="KTI159" s="54"/>
      <c r="KTJ159" s="56"/>
      <c r="KTK159" s="57"/>
      <c r="KTL159" s="54"/>
      <c r="KTM159" s="54"/>
      <c r="KTN159" s="54"/>
      <c r="KTO159" s="58"/>
      <c r="KTP159" s="58"/>
      <c r="KTQ159" s="58"/>
      <c r="KTR159" s="58"/>
      <c r="KTS159" s="59"/>
      <c r="KTT159" s="60"/>
      <c r="KTU159" s="54"/>
      <c r="KTV159" s="54"/>
      <c r="KTW159" s="36"/>
      <c r="KTX159" s="55"/>
      <c r="KTY159" s="54"/>
      <c r="KTZ159" s="56"/>
      <c r="KUA159" s="57"/>
      <c r="KUB159" s="54"/>
      <c r="KUC159" s="54"/>
      <c r="KUD159" s="54"/>
      <c r="KUE159" s="58"/>
      <c r="KUF159" s="58"/>
      <c r="KUG159" s="58"/>
      <c r="KUH159" s="58"/>
      <c r="KUI159" s="59"/>
      <c r="KUJ159" s="60"/>
      <c r="KUK159" s="54"/>
      <c r="KUL159" s="54"/>
      <c r="KUM159" s="36"/>
      <c r="KUN159" s="55"/>
      <c r="KUO159" s="54"/>
      <c r="KUP159" s="56"/>
      <c r="KUQ159" s="57"/>
      <c r="KUR159" s="54"/>
      <c r="KUS159" s="54"/>
      <c r="KUT159" s="54"/>
      <c r="KUU159" s="58"/>
      <c r="KUV159" s="58"/>
      <c r="KUW159" s="58"/>
      <c r="KUX159" s="58"/>
      <c r="KUY159" s="59"/>
      <c r="KUZ159" s="60"/>
      <c r="KVA159" s="54"/>
      <c r="KVB159" s="54"/>
      <c r="KVC159" s="36"/>
      <c r="KVD159" s="55"/>
      <c r="KVE159" s="54"/>
      <c r="KVF159" s="56"/>
      <c r="KVG159" s="57"/>
      <c r="KVH159" s="54"/>
      <c r="KVI159" s="54"/>
      <c r="KVJ159" s="54"/>
      <c r="KVK159" s="58"/>
      <c r="KVL159" s="58"/>
      <c r="KVM159" s="58"/>
      <c r="KVN159" s="58"/>
      <c r="KVO159" s="59"/>
      <c r="KVP159" s="60"/>
      <c r="KVQ159" s="54"/>
      <c r="KVR159" s="54"/>
      <c r="KVS159" s="36"/>
      <c r="KVT159" s="55"/>
      <c r="KVU159" s="54"/>
      <c r="KVV159" s="56"/>
      <c r="KVW159" s="57"/>
      <c r="KVX159" s="54"/>
      <c r="KVY159" s="54"/>
      <c r="KVZ159" s="54"/>
      <c r="KWA159" s="58"/>
      <c r="KWB159" s="58"/>
      <c r="KWC159" s="58"/>
      <c r="KWD159" s="58"/>
      <c r="KWE159" s="59"/>
      <c r="KWF159" s="60"/>
      <c r="KWG159" s="54"/>
      <c r="KWH159" s="54"/>
      <c r="KWI159" s="36"/>
      <c r="KWJ159" s="55"/>
      <c r="KWK159" s="54"/>
      <c r="KWL159" s="56"/>
      <c r="KWM159" s="57"/>
      <c r="KWN159" s="54"/>
      <c r="KWO159" s="54"/>
      <c r="KWP159" s="54"/>
      <c r="KWQ159" s="58"/>
      <c r="KWR159" s="58"/>
      <c r="KWS159" s="58"/>
      <c r="KWT159" s="58"/>
      <c r="KWU159" s="59"/>
      <c r="KWV159" s="60"/>
      <c r="KWW159" s="54"/>
      <c r="KWX159" s="54"/>
      <c r="KWY159" s="36"/>
      <c r="KWZ159" s="55"/>
      <c r="KXA159" s="54"/>
      <c r="KXB159" s="56"/>
      <c r="KXC159" s="57"/>
      <c r="KXD159" s="54"/>
      <c r="KXE159" s="54"/>
      <c r="KXF159" s="54"/>
      <c r="KXG159" s="58"/>
      <c r="KXH159" s="58"/>
      <c r="KXI159" s="58"/>
      <c r="KXJ159" s="58"/>
      <c r="KXK159" s="59"/>
      <c r="KXL159" s="60"/>
      <c r="KXM159" s="54"/>
      <c r="KXN159" s="54"/>
      <c r="KXO159" s="36"/>
      <c r="KXP159" s="55"/>
      <c r="KXQ159" s="54"/>
      <c r="KXR159" s="56"/>
      <c r="KXS159" s="57"/>
      <c r="KXT159" s="54"/>
      <c r="KXU159" s="54"/>
      <c r="KXV159" s="54"/>
      <c r="KXW159" s="58"/>
      <c r="KXX159" s="58"/>
      <c r="KXY159" s="58"/>
      <c r="KXZ159" s="58"/>
      <c r="KYA159" s="59"/>
      <c r="KYB159" s="60"/>
      <c r="KYC159" s="54"/>
      <c r="KYD159" s="54"/>
      <c r="KYE159" s="36"/>
      <c r="KYF159" s="55"/>
      <c r="KYG159" s="54"/>
      <c r="KYH159" s="56"/>
      <c r="KYI159" s="57"/>
      <c r="KYJ159" s="54"/>
      <c r="KYK159" s="54"/>
      <c r="KYL159" s="54"/>
      <c r="KYM159" s="58"/>
      <c r="KYN159" s="58"/>
      <c r="KYO159" s="58"/>
      <c r="KYP159" s="58"/>
      <c r="KYQ159" s="59"/>
      <c r="KYR159" s="60"/>
      <c r="KYS159" s="54"/>
      <c r="KYT159" s="54"/>
      <c r="KYU159" s="36"/>
      <c r="KYV159" s="55"/>
      <c r="KYW159" s="54"/>
      <c r="KYX159" s="56"/>
      <c r="KYY159" s="57"/>
      <c r="KYZ159" s="54"/>
      <c r="KZA159" s="54"/>
      <c r="KZB159" s="54"/>
      <c r="KZC159" s="58"/>
      <c r="KZD159" s="58"/>
      <c r="KZE159" s="58"/>
      <c r="KZF159" s="58"/>
      <c r="KZG159" s="59"/>
      <c r="KZH159" s="60"/>
      <c r="KZI159" s="54"/>
      <c r="KZJ159" s="54"/>
      <c r="KZK159" s="36"/>
      <c r="KZL159" s="55"/>
      <c r="KZM159" s="54"/>
      <c r="KZN159" s="56"/>
      <c r="KZO159" s="57"/>
      <c r="KZP159" s="54"/>
      <c r="KZQ159" s="54"/>
      <c r="KZR159" s="54"/>
      <c r="KZS159" s="58"/>
      <c r="KZT159" s="58"/>
      <c r="KZU159" s="58"/>
      <c r="KZV159" s="58"/>
      <c r="KZW159" s="59"/>
      <c r="KZX159" s="60"/>
      <c r="KZY159" s="54"/>
      <c r="KZZ159" s="54"/>
      <c r="LAA159" s="36"/>
      <c r="LAB159" s="55"/>
      <c r="LAC159" s="54"/>
      <c r="LAD159" s="56"/>
      <c r="LAE159" s="57"/>
      <c r="LAF159" s="54"/>
      <c r="LAG159" s="54"/>
      <c r="LAH159" s="54"/>
      <c r="LAI159" s="58"/>
      <c r="LAJ159" s="58"/>
      <c r="LAK159" s="58"/>
      <c r="LAL159" s="58"/>
      <c r="LAM159" s="59"/>
      <c r="LAN159" s="60"/>
      <c r="LAO159" s="54"/>
      <c r="LAP159" s="54"/>
      <c r="LAQ159" s="36"/>
      <c r="LAR159" s="55"/>
      <c r="LAS159" s="54"/>
      <c r="LAT159" s="56"/>
      <c r="LAU159" s="57"/>
      <c r="LAV159" s="54"/>
      <c r="LAW159" s="54"/>
      <c r="LAX159" s="54"/>
      <c r="LAY159" s="58"/>
      <c r="LAZ159" s="58"/>
      <c r="LBA159" s="58"/>
      <c r="LBB159" s="58"/>
      <c r="LBC159" s="59"/>
      <c r="LBD159" s="60"/>
      <c r="LBE159" s="54"/>
      <c r="LBF159" s="54"/>
      <c r="LBG159" s="36"/>
      <c r="LBH159" s="55"/>
      <c r="LBI159" s="54"/>
      <c r="LBJ159" s="56"/>
      <c r="LBK159" s="57"/>
      <c r="LBL159" s="54"/>
      <c r="LBM159" s="54"/>
      <c r="LBN159" s="54"/>
      <c r="LBO159" s="58"/>
      <c r="LBP159" s="58"/>
      <c r="LBQ159" s="58"/>
      <c r="LBR159" s="58"/>
      <c r="LBS159" s="59"/>
      <c r="LBT159" s="60"/>
      <c r="LBU159" s="54"/>
      <c r="LBV159" s="54"/>
      <c r="LBW159" s="36"/>
      <c r="LBX159" s="55"/>
      <c r="LBY159" s="54"/>
      <c r="LBZ159" s="56"/>
      <c r="LCA159" s="57"/>
      <c r="LCB159" s="54"/>
      <c r="LCC159" s="54"/>
      <c r="LCD159" s="54"/>
      <c r="LCE159" s="58"/>
      <c r="LCF159" s="58"/>
      <c r="LCG159" s="58"/>
      <c r="LCH159" s="58"/>
      <c r="LCI159" s="59"/>
      <c r="LCJ159" s="60"/>
      <c r="LCK159" s="54"/>
      <c r="LCL159" s="54"/>
      <c r="LCM159" s="36"/>
      <c r="LCN159" s="55"/>
      <c r="LCO159" s="54"/>
      <c r="LCP159" s="56"/>
      <c r="LCQ159" s="57"/>
      <c r="LCR159" s="54"/>
      <c r="LCS159" s="54"/>
      <c r="LCT159" s="54"/>
      <c r="LCU159" s="58"/>
      <c r="LCV159" s="58"/>
      <c r="LCW159" s="58"/>
      <c r="LCX159" s="58"/>
      <c r="LCY159" s="59"/>
      <c r="LCZ159" s="60"/>
      <c r="LDA159" s="54"/>
      <c r="LDB159" s="54"/>
      <c r="LDC159" s="36"/>
      <c r="LDD159" s="55"/>
      <c r="LDE159" s="54"/>
      <c r="LDF159" s="56"/>
      <c r="LDG159" s="57"/>
      <c r="LDH159" s="54"/>
      <c r="LDI159" s="54"/>
      <c r="LDJ159" s="54"/>
      <c r="LDK159" s="58"/>
      <c r="LDL159" s="58"/>
      <c r="LDM159" s="58"/>
      <c r="LDN159" s="58"/>
      <c r="LDO159" s="59"/>
      <c r="LDP159" s="60"/>
      <c r="LDQ159" s="54"/>
      <c r="LDR159" s="54"/>
      <c r="LDS159" s="36"/>
      <c r="LDT159" s="55"/>
      <c r="LDU159" s="54"/>
      <c r="LDV159" s="56"/>
      <c r="LDW159" s="57"/>
      <c r="LDX159" s="54"/>
      <c r="LDY159" s="54"/>
      <c r="LDZ159" s="54"/>
      <c r="LEA159" s="58"/>
      <c r="LEB159" s="58"/>
      <c r="LEC159" s="58"/>
      <c r="LED159" s="58"/>
      <c r="LEE159" s="59"/>
      <c r="LEF159" s="60"/>
      <c r="LEG159" s="54"/>
      <c r="LEH159" s="54"/>
      <c r="LEI159" s="36"/>
      <c r="LEJ159" s="55"/>
      <c r="LEK159" s="54"/>
      <c r="LEL159" s="56"/>
      <c r="LEM159" s="57"/>
      <c r="LEN159" s="54"/>
      <c r="LEO159" s="54"/>
      <c r="LEP159" s="54"/>
      <c r="LEQ159" s="58"/>
      <c r="LER159" s="58"/>
      <c r="LES159" s="58"/>
      <c r="LET159" s="58"/>
      <c r="LEU159" s="59"/>
      <c r="LEV159" s="60"/>
      <c r="LEW159" s="54"/>
      <c r="LEX159" s="54"/>
      <c r="LEY159" s="36"/>
      <c r="LEZ159" s="55"/>
      <c r="LFA159" s="54"/>
      <c r="LFB159" s="56"/>
      <c r="LFC159" s="57"/>
      <c r="LFD159" s="54"/>
      <c r="LFE159" s="54"/>
      <c r="LFF159" s="54"/>
      <c r="LFG159" s="58"/>
      <c r="LFH159" s="58"/>
      <c r="LFI159" s="58"/>
      <c r="LFJ159" s="58"/>
      <c r="LFK159" s="59"/>
      <c r="LFL159" s="60"/>
      <c r="LFM159" s="54"/>
      <c r="LFN159" s="54"/>
      <c r="LFO159" s="36"/>
      <c r="LFP159" s="55"/>
      <c r="LFQ159" s="54"/>
      <c r="LFR159" s="56"/>
      <c r="LFS159" s="57"/>
      <c r="LFT159" s="54"/>
      <c r="LFU159" s="54"/>
      <c r="LFV159" s="54"/>
      <c r="LFW159" s="58"/>
      <c r="LFX159" s="58"/>
      <c r="LFY159" s="58"/>
      <c r="LFZ159" s="58"/>
      <c r="LGA159" s="59"/>
      <c r="LGB159" s="60"/>
      <c r="LGC159" s="54"/>
      <c r="LGD159" s="54"/>
      <c r="LGE159" s="36"/>
      <c r="LGF159" s="55"/>
      <c r="LGG159" s="54"/>
      <c r="LGH159" s="56"/>
      <c r="LGI159" s="57"/>
      <c r="LGJ159" s="54"/>
      <c r="LGK159" s="54"/>
      <c r="LGL159" s="54"/>
      <c r="LGM159" s="58"/>
      <c r="LGN159" s="58"/>
      <c r="LGO159" s="58"/>
      <c r="LGP159" s="58"/>
      <c r="LGQ159" s="59"/>
      <c r="LGR159" s="60"/>
      <c r="LGS159" s="54"/>
      <c r="LGT159" s="54"/>
      <c r="LGU159" s="36"/>
      <c r="LGV159" s="55"/>
      <c r="LGW159" s="54"/>
      <c r="LGX159" s="56"/>
      <c r="LGY159" s="57"/>
      <c r="LGZ159" s="54"/>
      <c r="LHA159" s="54"/>
      <c r="LHB159" s="54"/>
      <c r="LHC159" s="58"/>
      <c r="LHD159" s="58"/>
      <c r="LHE159" s="58"/>
      <c r="LHF159" s="58"/>
      <c r="LHG159" s="59"/>
      <c r="LHH159" s="60"/>
      <c r="LHI159" s="54"/>
      <c r="LHJ159" s="54"/>
      <c r="LHK159" s="36"/>
      <c r="LHL159" s="55"/>
      <c r="LHM159" s="54"/>
      <c r="LHN159" s="56"/>
      <c r="LHO159" s="57"/>
      <c r="LHP159" s="54"/>
      <c r="LHQ159" s="54"/>
      <c r="LHR159" s="54"/>
      <c r="LHS159" s="58"/>
      <c r="LHT159" s="58"/>
      <c r="LHU159" s="58"/>
      <c r="LHV159" s="58"/>
      <c r="LHW159" s="59"/>
      <c r="LHX159" s="60"/>
      <c r="LHY159" s="54"/>
      <c r="LHZ159" s="54"/>
      <c r="LIA159" s="36"/>
      <c r="LIB159" s="55"/>
      <c r="LIC159" s="54"/>
      <c r="LID159" s="56"/>
      <c r="LIE159" s="57"/>
      <c r="LIF159" s="54"/>
      <c r="LIG159" s="54"/>
      <c r="LIH159" s="54"/>
      <c r="LII159" s="58"/>
      <c r="LIJ159" s="58"/>
      <c r="LIK159" s="58"/>
      <c r="LIL159" s="58"/>
      <c r="LIM159" s="59"/>
      <c r="LIN159" s="60"/>
      <c r="LIO159" s="54"/>
      <c r="LIP159" s="54"/>
      <c r="LIQ159" s="36"/>
      <c r="LIR159" s="55"/>
      <c r="LIS159" s="54"/>
      <c r="LIT159" s="56"/>
      <c r="LIU159" s="57"/>
      <c r="LIV159" s="54"/>
      <c r="LIW159" s="54"/>
      <c r="LIX159" s="54"/>
      <c r="LIY159" s="58"/>
      <c r="LIZ159" s="58"/>
      <c r="LJA159" s="58"/>
      <c r="LJB159" s="58"/>
      <c r="LJC159" s="59"/>
      <c r="LJD159" s="60"/>
      <c r="LJE159" s="54"/>
      <c r="LJF159" s="54"/>
      <c r="LJG159" s="36"/>
      <c r="LJH159" s="55"/>
      <c r="LJI159" s="54"/>
      <c r="LJJ159" s="56"/>
      <c r="LJK159" s="57"/>
      <c r="LJL159" s="54"/>
      <c r="LJM159" s="54"/>
      <c r="LJN159" s="54"/>
      <c r="LJO159" s="58"/>
      <c r="LJP159" s="58"/>
      <c r="LJQ159" s="58"/>
      <c r="LJR159" s="58"/>
      <c r="LJS159" s="59"/>
      <c r="LJT159" s="60"/>
      <c r="LJU159" s="54"/>
      <c r="LJV159" s="54"/>
      <c r="LJW159" s="36"/>
      <c r="LJX159" s="55"/>
      <c r="LJY159" s="54"/>
      <c r="LJZ159" s="56"/>
      <c r="LKA159" s="57"/>
      <c r="LKB159" s="54"/>
      <c r="LKC159" s="54"/>
      <c r="LKD159" s="54"/>
      <c r="LKE159" s="58"/>
      <c r="LKF159" s="58"/>
      <c r="LKG159" s="58"/>
      <c r="LKH159" s="58"/>
      <c r="LKI159" s="59"/>
      <c r="LKJ159" s="60"/>
      <c r="LKK159" s="54"/>
      <c r="LKL159" s="54"/>
      <c r="LKM159" s="36"/>
      <c r="LKN159" s="55"/>
      <c r="LKO159" s="54"/>
      <c r="LKP159" s="56"/>
      <c r="LKQ159" s="57"/>
      <c r="LKR159" s="54"/>
      <c r="LKS159" s="54"/>
      <c r="LKT159" s="54"/>
      <c r="LKU159" s="58"/>
      <c r="LKV159" s="58"/>
      <c r="LKW159" s="58"/>
      <c r="LKX159" s="58"/>
      <c r="LKY159" s="59"/>
      <c r="LKZ159" s="60"/>
      <c r="LLA159" s="54"/>
      <c r="LLB159" s="54"/>
      <c r="LLC159" s="36"/>
      <c r="LLD159" s="55"/>
      <c r="LLE159" s="54"/>
      <c r="LLF159" s="56"/>
      <c r="LLG159" s="57"/>
      <c r="LLH159" s="54"/>
      <c r="LLI159" s="54"/>
      <c r="LLJ159" s="54"/>
      <c r="LLK159" s="58"/>
      <c r="LLL159" s="58"/>
      <c r="LLM159" s="58"/>
      <c r="LLN159" s="58"/>
      <c r="LLO159" s="59"/>
      <c r="LLP159" s="60"/>
      <c r="LLQ159" s="54"/>
      <c r="LLR159" s="54"/>
      <c r="LLS159" s="36"/>
      <c r="LLT159" s="55"/>
      <c r="LLU159" s="54"/>
      <c r="LLV159" s="56"/>
      <c r="LLW159" s="57"/>
      <c r="LLX159" s="54"/>
      <c r="LLY159" s="54"/>
      <c r="LLZ159" s="54"/>
      <c r="LMA159" s="58"/>
      <c r="LMB159" s="58"/>
      <c r="LMC159" s="58"/>
      <c r="LMD159" s="58"/>
      <c r="LME159" s="59"/>
      <c r="LMF159" s="60"/>
      <c r="LMG159" s="54"/>
      <c r="LMH159" s="54"/>
      <c r="LMI159" s="36"/>
      <c r="LMJ159" s="55"/>
      <c r="LMK159" s="54"/>
      <c r="LML159" s="56"/>
      <c r="LMM159" s="57"/>
      <c r="LMN159" s="54"/>
      <c r="LMO159" s="54"/>
      <c r="LMP159" s="54"/>
      <c r="LMQ159" s="58"/>
      <c r="LMR159" s="58"/>
      <c r="LMS159" s="58"/>
      <c r="LMT159" s="58"/>
      <c r="LMU159" s="59"/>
      <c r="LMV159" s="60"/>
      <c r="LMW159" s="54"/>
      <c r="LMX159" s="54"/>
      <c r="LMY159" s="36"/>
      <c r="LMZ159" s="55"/>
      <c r="LNA159" s="54"/>
      <c r="LNB159" s="56"/>
      <c r="LNC159" s="57"/>
      <c r="LND159" s="54"/>
      <c r="LNE159" s="54"/>
      <c r="LNF159" s="54"/>
      <c r="LNG159" s="58"/>
      <c r="LNH159" s="58"/>
      <c r="LNI159" s="58"/>
      <c r="LNJ159" s="58"/>
      <c r="LNK159" s="59"/>
      <c r="LNL159" s="60"/>
      <c r="LNM159" s="54"/>
      <c r="LNN159" s="54"/>
      <c r="LNO159" s="36"/>
      <c r="LNP159" s="55"/>
      <c r="LNQ159" s="54"/>
      <c r="LNR159" s="56"/>
      <c r="LNS159" s="57"/>
      <c r="LNT159" s="54"/>
      <c r="LNU159" s="54"/>
      <c r="LNV159" s="54"/>
      <c r="LNW159" s="58"/>
      <c r="LNX159" s="58"/>
      <c r="LNY159" s="58"/>
      <c r="LNZ159" s="58"/>
      <c r="LOA159" s="59"/>
      <c r="LOB159" s="60"/>
      <c r="LOC159" s="54"/>
      <c r="LOD159" s="54"/>
      <c r="LOE159" s="36"/>
      <c r="LOF159" s="55"/>
      <c r="LOG159" s="54"/>
      <c r="LOH159" s="56"/>
      <c r="LOI159" s="57"/>
      <c r="LOJ159" s="54"/>
      <c r="LOK159" s="54"/>
      <c r="LOL159" s="54"/>
      <c r="LOM159" s="58"/>
      <c r="LON159" s="58"/>
      <c r="LOO159" s="58"/>
      <c r="LOP159" s="58"/>
      <c r="LOQ159" s="59"/>
      <c r="LOR159" s="60"/>
      <c r="LOS159" s="54"/>
      <c r="LOT159" s="54"/>
      <c r="LOU159" s="36"/>
      <c r="LOV159" s="55"/>
      <c r="LOW159" s="54"/>
      <c r="LOX159" s="56"/>
      <c r="LOY159" s="57"/>
      <c r="LOZ159" s="54"/>
      <c r="LPA159" s="54"/>
      <c r="LPB159" s="54"/>
      <c r="LPC159" s="58"/>
      <c r="LPD159" s="58"/>
      <c r="LPE159" s="58"/>
      <c r="LPF159" s="58"/>
      <c r="LPG159" s="59"/>
      <c r="LPH159" s="60"/>
      <c r="LPI159" s="54"/>
      <c r="LPJ159" s="54"/>
      <c r="LPK159" s="36"/>
      <c r="LPL159" s="55"/>
      <c r="LPM159" s="54"/>
      <c r="LPN159" s="56"/>
      <c r="LPO159" s="57"/>
      <c r="LPP159" s="54"/>
      <c r="LPQ159" s="54"/>
      <c r="LPR159" s="54"/>
      <c r="LPS159" s="58"/>
      <c r="LPT159" s="58"/>
      <c r="LPU159" s="58"/>
      <c r="LPV159" s="58"/>
      <c r="LPW159" s="59"/>
      <c r="LPX159" s="60"/>
      <c r="LPY159" s="54"/>
      <c r="LPZ159" s="54"/>
      <c r="LQA159" s="36"/>
      <c r="LQB159" s="55"/>
      <c r="LQC159" s="54"/>
      <c r="LQD159" s="56"/>
      <c r="LQE159" s="57"/>
      <c r="LQF159" s="54"/>
      <c r="LQG159" s="54"/>
      <c r="LQH159" s="54"/>
      <c r="LQI159" s="58"/>
      <c r="LQJ159" s="58"/>
      <c r="LQK159" s="58"/>
      <c r="LQL159" s="58"/>
      <c r="LQM159" s="59"/>
      <c r="LQN159" s="60"/>
      <c r="LQO159" s="54"/>
      <c r="LQP159" s="54"/>
      <c r="LQQ159" s="36"/>
      <c r="LQR159" s="55"/>
      <c r="LQS159" s="54"/>
      <c r="LQT159" s="56"/>
      <c r="LQU159" s="57"/>
      <c r="LQV159" s="54"/>
      <c r="LQW159" s="54"/>
      <c r="LQX159" s="54"/>
      <c r="LQY159" s="58"/>
      <c r="LQZ159" s="58"/>
      <c r="LRA159" s="58"/>
      <c r="LRB159" s="58"/>
      <c r="LRC159" s="59"/>
      <c r="LRD159" s="60"/>
      <c r="LRE159" s="54"/>
      <c r="LRF159" s="54"/>
      <c r="LRG159" s="36"/>
      <c r="LRH159" s="55"/>
      <c r="LRI159" s="54"/>
      <c r="LRJ159" s="56"/>
      <c r="LRK159" s="57"/>
      <c r="LRL159" s="54"/>
      <c r="LRM159" s="54"/>
      <c r="LRN159" s="54"/>
      <c r="LRO159" s="58"/>
      <c r="LRP159" s="58"/>
      <c r="LRQ159" s="58"/>
      <c r="LRR159" s="58"/>
      <c r="LRS159" s="59"/>
      <c r="LRT159" s="60"/>
      <c r="LRU159" s="54"/>
      <c r="LRV159" s="54"/>
      <c r="LRW159" s="36"/>
      <c r="LRX159" s="55"/>
      <c r="LRY159" s="54"/>
      <c r="LRZ159" s="56"/>
      <c r="LSA159" s="57"/>
      <c r="LSB159" s="54"/>
      <c r="LSC159" s="54"/>
      <c r="LSD159" s="54"/>
      <c r="LSE159" s="58"/>
      <c r="LSF159" s="58"/>
      <c r="LSG159" s="58"/>
      <c r="LSH159" s="58"/>
      <c r="LSI159" s="59"/>
      <c r="LSJ159" s="60"/>
      <c r="LSK159" s="54"/>
      <c r="LSL159" s="54"/>
      <c r="LSM159" s="36"/>
      <c r="LSN159" s="55"/>
      <c r="LSO159" s="54"/>
      <c r="LSP159" s="56"/>
      <c r="LSQ159" s="57"/>
      <c r="LSR159" s="54"/>
      <c r="LSS159" s="54"/>
      <c r="LST159" s="54"/>
      <c r="LSU159" s="58"/>
      <c r="LSV159" s="58"/>
      <c r="LSW159" s="58"/>
      <c r="LSX159" s="58"/>
      <c r="LSY159" s="59"/>
      <c r="LSZ159" s="60"/>
      <c r="LTA159" s="54"/>
      <c r="LTB159" s="54"/>
      <c r="LTC159" s="36"/>
      <c r="LTD159" s="55"/>
      <c r="LTE159" s="54"/>
      <c r="LTF159" s="56"/>
      <c r="LTG159" s="57"/>
      <c r="LTH159" s="54"/>
      <c r="LTI159" s="54"/>
      <c r="LTJ159" s="54"/>
      <c r="LTK159" s="58"/>
      <c r="LTL159" s="58"/>
      <c r="LTM159" s="58"/>
      <c r="LTN159" s="58"/>
      <c r="LTO159" s="59"/>
      <c r="LTP159" s="60"/>
      <c r="LTQ159" s="54"/>
      <c r="LTR159" s="54"/>
      <c r="LTS159" s="36"/>
      <c r="LTT159" s="55"/>
      <c r="LTU159" s="54"/>
      <c r="LTV159" s="56"/>
      <c r="LTW159" s="57"/>
      <c r="LTX159" s="54"/>
      <c r="LTY159" s="54"/>
      <c r="LTZ159" s="54"/>
      <c r="LUA159" s="58"/>
      <c r="LUB159" s="58"/>
      <c r="LUC159" s="58"/>
      <c r="LUD159" s="58"/>
      <c r="LUE159" s="59"/>
      <c r="LUF159" s="60"/>
      <c r="LUG159" s="54"/>
      <c r="LUH159" s="54"/>
      <c r="LUI159" s="36"/>
      <c r="LUJ159" s="55"/>
      <c r="LUK159" s="54"/>
      <c r="LUL159" s="56"/>
      <c r="LUM159" s="57"/>
      <c r="LUN159" s="54"/>
      <c r="LUO159" s="54"/>
      <c r="LUP159" s="54"/>
      <c r="LUQ159" s="58"/>
      <c r="LUR159" s="58"/>
      <c r="LUS159" s="58"/>
      <c r="LUT159" s="58"/>
      <c r="LUU159" s="59"/>
      <c r="LUV159" s="60"/>
      <c r="LUW159" s="54"/>
      <c r="LUX159" s="54"/>
      <c r="LUY159" s="36"/>
      <c r="LUZ159" s="55"/>
      <c r="LVA159" s="54"/>
      <c r="LVB159" s="56"/>
      <c r="LVC159" s="57"/>
      <c r="LVD159" s="54"/>
      <c r="LVE159" s="54"/>
      <c r="LVF159" s="54"/>
      <c r="LVG159" s="58"/>
      <c r="LVH159" s="58"/>
      <c r="LVI159" s="58"/>
      <c r="LVJ159" s="58"/>
      <c r="LVK159" s="59"/>
      <c r="LVL159" s="60"/>
      <c r="LVM159" s="54"/>
      <c r="LVN159" s="54"/>
      <c r="LVO159" s="36"/>
      <c r="LVP159" s="55"/>
      <c r="LVQ159" s="54"/>
      <c r="LVR159" s="56"/>
      <c r="LVS159" s="57"/>
      <c r="LVT159" s="54"/>
      <c r="LVU159" s="54"/>
      <c r="LVV159" s="54"/>
      <c r="LVW159" s="58"/>
      <c r="LVX159" s="58"/>
      <c r="LVY159" s="58"/>
      <c r="LVZ159" s="58"/>
      <c r="LWA159" s="59"/>
      <c r="LWB159" s="60"/>
      <c r="LWC159" s="54"/>
      <c r="LWD159" s="54"/>
      <c r="LWE159" s="36"/>
      <c r="LWF159" s="55"/>
      <c r="LWG159" s="54"/>
      <c r="LWH159" s="56"/>
      <c r="LWI159" s="57"/>
      <c r="LWJ159" s="54"/>
      <c r="LWK159" s="54"/>
      <c r="LWL159" s="54"/>
      <c r="LWM159" s="58"/>
      <c r="LWN159" s="58"/>
      <c r="LWO159" s="58"/>
      <c r="LWP159" s="58"/>
      <c r="LWQ159" s="59"/>
      <c r="LWR159" s="60"/>
      <c r="LWS159" s="54"/>
      <c r="LWT159" s="54"/>
      <c r="LWU159" s="36"/>
      <c r="LWV159" s="55"/>
      <c r="LWW159" s="54"/>
      <c r="LWX159" s="56"/>
      <c r="LWY159" s="57"/>
      <c r="LWZ159" s="54"/>
      <c r="LXA159" s="54"/>
      <c r="LXB159" s="54"/>
      <c r="LXC159" s="58"/>
      <c r="LXD159" s="58"/>
      <c r="LXE159" s="58"/>
      <c r="LXF159" s="58"/>
      <c r="LXG159" s="59"/>
      <c r="LXH159" s="60"/>
      <c r="LXI159" s="54"/>
      <c r="LXJ159" s="54"/>
      <c r="LXK159" s="36"/>
      <c r="LXL159" s="55"/>
      <c r="LXM159" s="54"/>
      <c r="LXN159" s="56"/>
      <c r="LXO159" s="57"/>
      <c r="LXP159" s="54"/>
      <c r="LXQ159" s="54"/>
      <c r="LXR159" s="54"/>
      <c r="LXS159" s="58"/>
      <c r="LXT159" s="58"/>
      <c r="LXU159" s="58"/>
      <c r="LXV159" s="58"/>
      <c r="LXW159" s="59"/>
      <c r="LXX159" s="60"/>
      <c r="LXY159" s="54"/>
      <c r="LXZ159" s="54"/>
      <c r="LYA159" s="36"/>
      <c r="LYB159" s="55"/>
      <c r="LYC159" s="54"/>
      <c r="LYD159" s="56"/>
      <c r="LYE159" s="57"/>
      <c r="LYF159" s="54"/>
      <c r="LYG159" s="54"/>
      <c r="LYH159" s="54"/>
      <c r="LYI159" s="58"/>
      <c r="LYJ159" s="58"/>
      <c r="LYK159" s="58"/>
      <c r="LYL159" s="58"/>
      <c r="LYM159" s="59"/>
      <c r="LYN159" s="60"/>
      <c r="LYO159" s="54"/>
      <c r="LYP159" s="54"/>
      <c r="LYQ159" s="36"/>
      <c r="LYR159" s="55"/>
      <c r="LYS159" s="54"/>
      <c r="LYT159" s="56"/>
      <c r="LYU159" s="57"/>
      <c r="LYV159" s="54"/>
      <c r="LYW159" s="54"/>
      <c r="LYX159" s="54"/>
      <c r="LYY159" s="58"/>
      <c r="LYZ159" s="58"/>
      <c r="LZA159" s="58"/>
      <c r="LZB159" s="58"/>
      <c r="LZC159" s="59"/>
      <c r="LZD159" s="60"/>
      <c r="LZE159" s="54"/>
      <c r="LZF159" s="54"/>
      <c r="LZG159" s="36"/>
      <c r="LZH159" s="55"/>
      <c r="LZI159" s="54"/>
      <c r="LZJ159" s="56"/>
      <c r="LZK159" s="57"/>
      <c r="LZL159" s="54"/>
      <c r="LZM159" s="54"/>
      <c r="LZN159" s="54"/>
      <c r="LZO159" s="58"/>
      <c r="LZP159" s="58"/>
      <c r="LZQ159" s="58"/>
      <c r="LZR159" s="58"/>
      <c r="LZS159" s="59"/>
      <c r="LZT159" s="60"/>
      <c r="LZU159" s="54"/>
      <c r="LZV159" s="54"/>
      <c r="LZW159" s="36"/>
      <c r="LZX159" s="55"/>
      <c r="LZY159" s="54"/>
      <c r="LZZ159" s="56"/>
      <c r="MAA159" s="57"/>
      <c r="MAB159" s="54"/>
      <c r="MAC159" s="54"/>
      <c r="MAD159" s="54"/>
      <c r="MAE159" s="58"/>
      <c r="MAF159" s="58"/>
      <c r="MAG159" s="58"/>
      <c r="MAH159" s="58"/>
      <c r="MAI159" s="59"/>
      <c r="MAJ159" s="60"/>
      <c r="MAK159" s="54"/>
      <c r="MAL159" s="54"/>
      <c r="MAM159" s="36"/>
      <c r="MAN159" s="55"/>
      <c r="MAO159" s="54"/>
      <c r="MAP159" s="56"/>
      <c r="MAQ159" s="57"/>
      <c r="MAR159" s="54"/>
      <c r="MAS159" s="54"/>
      <c r="MAT159" s="54"/>
      <c r="MAU159" s="58"/>
      <c r="MAV159" s="58"/>
      <c r="MAW159" s="58"/>
      <c r="MAX159" s="58"/>
      <c r="MAY159" s="59"/>
      <c r="MAZ159" s="60"/>
      <c r="MBA159" s="54"/>
      <c r="MBB159" s="54"/>
      <c r="MBC159" s="36"/>
      <c r="MBD159" s="55"/>
      <c r="MBE159" s="54"/>
      <c r="MBF159" s="56"/>
      <c r="MBG159" s="57"/>
      <c r="MBH159" s="54"/>
      <c r="MBI159" s="54"/>
      <c r="MBJ159" s="54"/>
      <c r="MBK159" s="58"/>
      <c r="MBL159" s="58"/>
      <c r="MBM159" s="58"/>
      <c r="MBN159" s="58"/>
      <c r="MBO159" s="59"/>
      <c r="MBP159" s="60"/>
      <c r="MBQ159" s="54"/>
      <c r="MBR159" s="54"/>
      <c r="MBS159" s="36"/>
      <c r="MBT159" s="55"/>
      <c r="MBU159" s="54"/>
      <c r="MBV159" s="56"/>
      <c r="MBW159" s="57"/>
      <c r="MBX159" s="54"/>
      <c r="MBY159" s="54"/>
      <c r="MBZ159" s="54"/>
      <c r="MCA159" s="58"/>
      <c r="MCB159" s="58"/>
      <c r="MCC159" s="58"/>
      <c r="MCD159" s="58"/>
      <c r="MCE159" s="59"/>
      <c r="MCF159" s="60"/>
      <c r="MCG159" s="54"/>
      <c r="MCH159" s="54"/>
      <c r="MCI159" s="36"/>
      <c r="MCJ159" s="55"/>
      <c r="MCK159" s="54"/>
      <c r="MCL159" s="56"/>
      <c r="MCM159" s="57"/>
      <c r="MCN159" s="54"/>
      <c r="MCO159" s="54"/>
      <c r="MCP159" s="54"/>
      <c r="MCQ159" s="58"/>
      <c r="MCR159" s="58"/>
      <c r="MCS159" s="58"/>
      <c r="MCT159" s="58"/>
      <c r="MCU159" s="59"/>
      <c r="MCV159" s="60"/>
      <c r="MCW159" s="54"/>
      <c r="MCX159" s="54"/>
      <c r="MCY159" s="36"/>
      <c r="MCZ159" s="55"/>
      <c r="MDA159" s="54"/>
      <c r="MDB159" s="56"/>
      <c r="MDC159" s="57"/>
      <c r="MDD159" s="54"/>
      <c r="MDE159" s="54"/>
      <c r="MDF159" s="54"/>
      <c r="MDG159" s="58"/>
      <c r="MDH159" s="58"/>
      <c r="MDI159" s="58"/>
      <c r="MDJ159" s="58"/>
      <c r="MDK159" s="59"/>
      <c r="MDL159" s="60"/>
      <c r="MDM159" s="54"/>
      <c r="MDN159" s="54"/>
      <c r="MDO159" s="36"/>
      <c r="MDP159" s="55"/>
      <c r="MDQ159" s="54"/>
      <c r="MDR159" s="56"/>
      <c r="MDS159" s="57"/>
      <c r="MDT159" s="54"/>
      <c r="MDU159" s="54"/>
      <c r="MDV159" s="54"/>
      <c r="MDW159" s="58"/>
      <c r="MDX159" s="58"/>
      <c r="MDY159" s="58"/>
      <c r="MDZ159" s="58"/>
      <c r="MEA159" s="59"/>
      <c r="MEB159" s="60"/>
      <c r="MEC159" s="54"/>
      <c r="MED159" s="54"/>
      <c r="MEE159" s="36"/>
      <c r="MEF159" s="55"/>
      <c r="MEG159" s="54"/>
      <c r="MEH159" s="56"/>
      <c r="MEI159" s="57"/>
      <c r="MEJ159" s="54"/>
      <c r="MEK159" s="54"/>
      <c r="MEL159" s="54"/>
      <c r="MEM159" s="58"/>
      <c r="MEN159" s="58"/>
      <c r="MEO159" s="58"/>
      <c r="MEP159" s="58"/>
      <c r="MEQ159" s="59"/>
      <c r="MER159" s="60"/>
      <c r="MES159" s="54"/>
      <c r="MET159" s="54"/>
      <c r="MEU159" s="36"/>
      <c r="MEV159" s="55"/>
      <c r="MEW159" s="54"/>
      <c r="MEX159" s="56"/>
      <c r="MEY159" s="57"/>
      <c r="MEZ159" s="54"/>
      <c r="MFA159" s="54"/>
      <c r="MFB159" s="54"/>
      <c r="MFC159" s="58"/>
      <c r="MFD159" s="58"/>
      <c r="MFE159" s="58"/>
      <c r="MFF159" s="58"/>
      <c r="MFG159" s="59"/>
      <c r="MFH159" s="60"/>
      <c r="MFI159" s="54"/>
      <c r="MFJ159" s="54"/>
      <c r="MFK159" s="36"/>
      <c r="MFL159" s="55"/>
      <c r="MFM159" s="54"/>
      <c r="MFN159" s="56"/>
      <c r="MFO159" s="57"/>
      <c r="MFP159" s="54"/>
      <c r="MFQ159" s="54"/>
      <c r="MFR159" s="54"/>
      <c r="MFS159" s="58"/>
      <c r="MFT159" s="58"/>
      <c r="MFU159" s="58"/>
      <c r="MFV159" s="58"/>
      <c r="MFW159" s="59"/>
      <c r="MFX159" s="60"/>
      <c r="MFY159" s="54"/>
      <c r="MFZ159" s="54"/>
      <c r="MGA159" s="36"/>
      <c r="MGB159" s="55"/>
      <c r="MGC159" s="54"/>
      <c r="MGD159" s="56"/>
      <c r="MGE159" s="57"/>
      <c r="MGF159" s="54"/>
      <c r="MGG159" s="54"/>
      <c r="MGH159" s="54"/>
      <c r="MGI159" s="58"/>
      <c r="MGJ159" s="58"/>
      <c r="MGK159" s="58"/>
      <c r="MGL159" s="58"/>
      <c r="MGM159" s="59"/>
      <c r="MGN159" s="60"/>
      <c r="MGO159" s="54"/>
      <c r="MGP159" s="54"/>
      <c r="MGQ159" s="36"/>
      <c r="MGR159" s="55"/>
      <c r="MGS159" s="54"/>
      <c r="MGT159" s="56"/>
      <c r="MGU159" s="57"/>
      <c r="MGV159" s="54"/>
      <c r="MGW159" s="54"/>
      <c r="MGX159" s="54"/>
      <c r="MGY159" s="58"/>
      <c r="MGZ159" s="58"/>
      <c r="MHA159" s="58"/>
      <c r="MHB159" s="58"/>
      <c r="MHC159" s="59"/>
      <c r="MHD159" s="60"/>
      <c r="MHE159" s="54"/>
      <c r="MHF159" s="54"/>
      <c r="MHG159" s="36"/>
      <c r="MHH159" s="55"/>
      <c r="MHI159" s="54"/>
      <c r="MHJ159" s="56"/>
      <c r="MHK159" s="57"/>
      <c r="MHL159" s="54"/>
      <c r="MHM159" s="54"/>
      <c r="MHN159" s="54"/>
      <c r="MHO159" s="58"/>
      <c r="MHP159" s="58"/>
      <c r="MHQ159" s="58"/>
      <c r="MHR159" s="58"/>
      <c r="MHS159" s="59"/>
      <c r="MHT159" s="60"/>
      <c r="MHU159" s="54"/>
      <c r="MHV159" s="54"/>
      <c r="MHW159" s="36"/>
      <c r="MHX159" s="55"/>
      <c r="MHY159" s="54"/>
      <c r="MHZ159" s="56"/>
      <c r="MIA159" s="57"/>
      <c r="MIB159" s="54"/>
      <c r="MIC159" s="54"/>
      <c r="MID159" s="54"/>
      <c r="MIE159" s="58"/>
      <c r="MIF159" s="58"/>
      <c r="MIG159" s="58"/>
      <c r="MIH159" s="58"/>
      <c r="MII159" s="59"/>
      <c r="MIJ159" s="60"/>
      <c r="MIK159" s="54"/>
      <c r="MIL159" s="54"/>
      <c r="MIM159" s="36"/>
      <c r="MIN159" s="55"/>
      <c r="MIO159" s="54"/>
      <c r="MIP159" s="56"/>
      <c r="MIQ159" s="57"/>
      <c r="MIR159" s="54"/>
      <c r="MIS159" s="54"/>
      <c r="MIT159" s="54"/>
      <c r="MIU159" s="58"/>
      <c r="MIV159" s="58"/>
      <c r="MIW159" s="58"/>
      <c r="MIX159" s="58"/>
      <c r="MIY159" s="59"/>
      <c r="MIZ159" s="60"/>
      <c r="MJA159" s="54"/>
      <c r="MJB159" s="54"/>
      <c r="MJC159" s="36"/>
      <c r="MJD159" s="55"/>
      <c r="MJE159" s="54"/>
      <c r="MJF159" s="56"/>
      <c r="MJG159" s="57"/>
      <c r="MJH159" s="54"/>
      <c r="MJI159" s="54"/>
      <c r="MJJ159" s="54"/>
      <c r="MJK159" s="58"/>
      <c r="MJL159" s="58"/>
      <c r="MJM159" s="58"/>
      <c r="MJN159" s="58"/>
      <c r="MJO159" s="59"/>
      <c r="MJP159" s="60"/>
      <c r="MJQ159" s="54"/>
      <c r="MJR159" s="54"/>
      <c r="MJS159" s="36"/>
      <c r="MJT159" s="55"/>
      <c r="MJU159" s="54"/>
      <c r="MJV159" s="56"/>
      <c r="MJW159" s="57"/>
      <c r="MJX159" s="54"/>
      <c r="MJY159" s="54"/>
      <c r="MJZ159" s="54"/>
      <c r="MKA159" s="58"/>
      <c r="MKB159" s="58"/>
      <c r="MKC159" s="58"/>
      <c r="MKD159" s="58"/>
      <c r="MKE159" s="59"/>
      <c r="MKF159" s="60"/>
      <c r="MKG159" s="54"/>
      <c r="MKH159" s="54"/>
      <c r="MKI159" s="36"/>
      <c r="MKJ159" s="55"/>
      <c r="MKK159" s="54"/>
      <c r="MKL159" s="56"/>
      <c r="MKM159" s="57"/>
      <c r="MKN159" s="54"/>
      <c r="MKO159" s="54"/>
      <c r="MKP159" s="54"/>
      <c r="MKQ159" s="58"/>
      <c r="MKR159" s="58"/>
      <c r="MKS159" s="58"/>
      <c r="MKT159" s="58"/>
      <c r="MKU159" s="59"/>
      <c r="MKV159" s="60"/>
      <c r="MKW159" s="54"/>
      <c r="MKX159" s="54"/>
      <c r="MKY159" s="36"/>
      <c r="MKZ159" s="55"/>
      <c r="MLA159" s="54"/>
      <c r="MLB159" s="56"/>
      <c r="MLC159" s="57"/>
      <c r="MLD159" s="54"/>
      <c r="MLE159" s="54"/>
      <c r="MLF159" s="54"/>
      <c r="MLG159" s="58"/>
      <c r="MLH159" s="58"/>
      <c r="MLI159" s="58"/>
      <c r="MLJ159" s="58"/>
      <c r="MLK159" s="59"/>
      <c r="MLL159" s="60"/>
      <c r="MLM159" s="54"/>
      <c r="MLN159" s="54"/>
      <c r="MLO159" s="36"/>
      <c r="MLP159" s="55"/>
      <c r="MLQ159" s="54"/>
      <c r="MLR159" s="56"/>
      <c r="MLS159" s="57"/>
      <c r="MLT159" s="54"/>
      <c r="MLU159" s="54"/>
      <c r="MLV159" s="54"/>
      <c r="MLW159" s="58"/>
      <c r="MLX159" s="58"/>
      <c r="MLY159" s="58"/>
      <c r="MLZ159" s="58"/>
      <c r="MMA159" s="59"/>
      <c r="MMB159" s="60"/>
      <c r="MMC159" s="54"/>
      <c r="MMD159" s="54"/>
      <c r="MME159" s="36"/>
      <c r="MMF159" s="55"/>
      <c r="MMG159" s="54"/>
      <c r="MMH159" s="56"/>
      <c r="MMI159" s="57"/>
      <c r="MMJ159" s="54"/>
      <c r="MMK159" s="54"/>
      <c r="MML159" s="54"/>
      <c r="MMM159" s="58"/>
      <c r="MMN159" s="58"/>
      <c r="MMO159" s="58"/>
      <c r="MMP159" s="58"/>
      <c r="MMQ159" s="59"/>
      <c r="MMR159" s="60"/>
      <c r="MMS159" s="54"/>
      <c r="MMT159" s="54"/>
      <c r="MMU159" s="36"/>
      <c r="MMV159" s="55"/>
      <c r="MMW159" s="54"/>
      <c r="MMX159" s="56"/>
      <c r="MMY159" s="57"/>
      <c r="MMZ159" s="54"/>
      <c r="MNA159" s="54"/>
      <c r="MNB159" s="54"/>
      <c r="MNC159" s="58"/>
      <c r="MND159" s="58"/>
      <c r="MNE159" s="58"/>
      <c r="MNF159" s="58"/>
      <c r="MNG159" s="59"/>
      <c r="MNH159" s="60"/>
      <c r="MNI159" s="54"/>
      <c r="MNJ159" s="54"/>
      <c r="MNK159" s="36"/>
      <c r="MNL159" s="55"/>
      <c r="MNM159" s="54"/>
      <c r="MNN159" s="56"/>
      <c r="MNO159" s="57"/>
      <c r="MNP159" s="54"/>
      <c r="MNQ159" s="54"/>
      <c r="MNR159" s="54"/>
      <c r="MNS159" s="58"/>
      <c r="MNT159" s="58"/>
      <c r="MNU159" s="58"/>
      <c r="MNV159" s="58"/>
      <c r="MNW159" s="59"/>
      <c r="MNX159" s="60"/>
      <c r="MNY159" s="54"/>
      <c r="MNZ159" s="54"/>
      <c r="MOA159" s="36"/>
      <c r="MOB159" s="55"/>
      <c r="MOC159" s="54"/>
      <c r="MOD159" s="56"/>
      <c r="MOE159" s="57"/>
      <c r="MOF159" s="54"/>
      <c r="MOG159" s="54"/>
      <c r="MOH159" s="54"/>
      <c r="MOI159" s="58"/>
      <c r="MOJ159" s="58"/>
      <c r="MOK159" s="58"/>
      <c r="MOL159" s="58"/>
      <c r="MOM159" s="59"/>
      <c r="MON159" s="60"/>
      <c r="MOO159" s="54"/>
      <c r="MOP159" s="54"/>
      <c r="MOQ159" s="36"/>
      <c r="MOR159" s="55"/>
      <c r="MOS159" s="54"/>
      <c r="MOT159" s="56"/>
      <c r="MOU159" s="57"/>
      <c r="MOV159" s="54"/>
      <c r="MOW159" s="54"/>
      <c r="MOX159" s="54"/>
      <c r="MOY159" s="58"/>
      <c r="MOZ159" s="58"/>
      <c r="MPA159" s="58"/>
      <c r="MPB159" s="58"/>
      <c r="MPC159" s="59"/>
      <c r="MPD159" s="60"/>
      <c r="MPE159" s="54"/>
      <c r="MPF159" s="54"/>
      <c r="MPG159" s="36"/>
      <c r="MPH159" s="55"/>
      <c r="MPI159" s="54"/>
      <c r="MPJ159" s="56"/>
      <c r="MPK159" s="57"/>
      <c r="MPL159" s="54"/>
      <c r="MPM159" s="54"/>
      <c r="MPN159" s="54"/>
      <c r="MPO159" s="58"/>
      <c r="MPP159" s="58"/>
      <c r="MPQ159" s="58"/>
      <c r="MPR159" s="58"/>
      <c r="MPS159" s="59"/>
      <c r="MPT159" s="60"/>
      <c r="MPU159" s="54"/>
      <c r="MPV159" s="54"/>
      <c r="MPW159" s="36"/>
      <c r="MPX159" s="55"/>
      <c r="MPY159" s="54"/>
      <c r="MPZ159" s="56"/>
      <c r="MQA159" s="57"/>
      <c r="MQB159" s="54"/>
      <c r="MQC159" s="54"/>
      <c r="MQD159" s="54"/>
      <c r="MQE159" s="58"/>
      <c r="MQF159" s="58"/>
      <c r="MQG159" s="58"/>
      <c r="MQH159" s="58"/>
      <c r="MQI159" s="59"/>
      <c r="MQJ159" s="60"/>
      <c r="MQK159" s="54"/>
      <c r="MQL159" s="54"/>
      <c r="MQM159" s="36"/>
      <c r="MQN159" s="55"/>
      <c r="MQO159" s="54"/>
      <c r="MQP159" s="56"/>
      <c r="MQQ159" s="57"/>
      <c r="MQR159" s="54"/>
      <c r="MQS159" s="54"/>
      <c r="MQT159" s="54"/>
      <c r="MQU159" s="58"/>
      <c r="MQV159" s="58"/>
      <c r="MQW159" s="58"/>
      <c r="MQX159" s="58"/>
      <c r="MQY159" s="59"/>
      <c r="MQZ159" s="60"/>
      <c r="MRA159" s="54"/>
      <c r="MRB159" s="54"/>
      <c r="MRC159" s="36"/>
      <c r="MRD159" s="55"/>
      <c r="MRE159" s="54"/>
      <c r="MRF159" s="56"/>
      <c r="MRG159" s="57"/>
      <c r="MRH159" s="54"/>
      <c r="MRI159" s="54"/>
      <c r="MRJ159" s="54"/>
      <c r="MRK159" s="58"/>
      <c r="MRL159" s="58"/>
      <c r="MRM159" s="58"/>
      <c r="MRN159" s="58"/>
      <c r="MRO159" s="59"/>
      <c r="MRP159" s="60"/>
      <c r="MRQ159" s="54"/>
      <c r="MRR159" s="54"/>
      <c r="MRS159" s="36"/>
      <c r="MRT159" s="55"/>
      <c r="MRU159" s="54"/>
      <c r="MRV159" s="56"/>
      <c r="MRW159" s="57"/>
      <c r="MRX159" s="54"/>
      <c r="MRY159" s="54"/>
      <c r="MRZ159" s="54"/>
      <c r="MSA159" s="58"/>
      <c r="MSB159" s="58"/>
      <c r="MSC159" s="58"/>
      <c r="MSD159" s="58"/>
      <c r="MSE159" s="59"/>
      <c r="MSF159" s="60"/>
      <c r="MSG159" s="54"/>
      <c r="MSH159" s="54"/>
      <c r="MSI159" s="36"/>
      <c r="MSJ159" s="55"/>
      <c r="MSK159" s="54"/>
      <c r="MSL159" s="56"/>
      <c r="MSM159" s="57"/>
      <c r="MSN159" s="54"/>
      <c r="MSO159" s="54"/>
      <c r="MSP159" s="54"/>
      <c r="MSQ159" s="58"/>
      <c r="MSR159" s="58"/>
      <c r="MSS159" s="58"/>
      <c r="MST159" s="58"/>
      <c r="MSU159" s="59"/>
      <c r="MSV159" s="60"/>
      <c r="MSW159" s="54"/>
      <c r="MSX159" s="54"/>
      <c r="MSY159" s="36"/>
      <c r="MSZ159" s="55"/>
      <c r="MTA159" s="54"/>
      <c r="MTB159" s="56"/>
      <c r="MTC159" s="57"/>
      <c r="MTD159" s="54"/>
      <c r="MTE159" s="54"/>
      <c r="MTF159" s="54"/>
      <c r="MTG159" s="58"/>
      <c r="MTH159" s="58"/>
      <c r="MTI159" s="58"/>
      <c r="MTJ159" s="58"/>
      <c r="MTK159" s="59"/>
      <c r="MTL159" s="60"/>
      <c r="MTM159" s="54"/>
      <c r="MTN159" s="54"/>
      <c r="MTO159" s="36"/>
      <c r="MTP159" s="55"/>
      <c r="MTQ159" s="54"/>
      <c r="MTR159" s="56"/>
      <c r="MTS159" s="57"/>
      <c r="MTT159" s="54"/>
      <c r="MTU159" s="54"/>
      <c r="MTV159" s="54"/>
      <c r="MTW159" s="58"/>
      <c r="MTX159" s="58"/>
      <c r="MTY159" s="58"/>
      <c r="MTZ159" s="58"/>
      <c r="MUA159" s="59"/>
      <c r="MUB159" s="60"/>
      <c r="MUC159" s="54"/>
      <c r="MUD159" s="54"/>
      <c r="MUE159" s="36"/>
      <c r="MUF159" s="55"/>
      <c r="MUG159" s="54"/>
      <c r="MUH159" s="56"/>
      <c r="MUI159" s="57"/>
      <c r="MUJ159" s="54"/>
      <c r="MUK159" s="54"/>
      <c r="MUL159" s="54"/>
      <c r="MUM159" s="58"/>
      <c r="MUN159" s="58"/>
      <c r="MUO159" s="58"/>
      <c r="MUP159" s="58"/>
      <c r="MUQ159" s="59"/>
      <c r="MUR159" s="60"/>
      <c r="MUS159" s="54"/>
      <c r="MUT159" s="54"/>
      <c r="MUU159" s="36"/>
      <c r="MUV159" s="55"/>
      <c r="MUW159" s="54"/>
      <c r="MUX159" s="56"/>
      <c r="MUY159" s="57"/>
      <c r="MUZ159" s="54"/>
      <c r="MVA159" s="54"/>
      <c r="MVB159" s="54"/>
      <c r="MVC159" s="58"/>
      <c r="MVD159" s="58"/>
      <c r="MVE159" s="58"/>
      <c r="MVF159" s="58"/>
      <c r="MVG159" s="59"/>
      <c r="MVH159" s="60"/>
      <c r="MVI159" s="54"/>
      <c r="MVJ159" s="54"/>
      <c r="MVK159" s="36"/>
      <c r="MVL159" s="55"/>
      <c r="MVM159" s="54"/>
      <c r="MVN159" s="56"/>
      <c r="MVO159" s="57"/>
      <c r="MVP159" s="54"/>
      <c r="MVQ159" s="54"/>
      <c r="MVR159" s="54"/>
      <c r="MVS159" s="58"/>
      <c r="MVT159" s="58"/>
      <c r="MVU159" s="58"/>
      <c r="MVV159" s="58"/>
      <c r="MVW159" s="59"/>
      <c r="MVX159" s="60"/>
      <c r="MVY159" s="54"/>
      <c r="MVZ159" s="54"/>
      <c r="MWA159" s="36"/>
      <c r="MWB159" s="55"/>
      <c r="MWC159" s="54"/>
      <c r="MWD159" s="56"/>
      <c r="MWE159" s="57"/>
      <c r="MWF159" s="54"/>
      <c r="MWG159" s="54"/>
      <c r="MWH159" s="54"/>
      <c r="MWI159" s="58"/>
      <c r="MWJ159" s="58"/>
      <c r="MWK159" s="58"/>
      <c r="MWL159" s="58"/>
      <c r="MWM159" s="59"/>
      <c r="MWN159" s="60"/>
      <c r="MWO159" s="54"/>
      <c r="MWP159" s="54"/>
      <c r="MWQ159" s="36"/>
      <c r="MWR159" s="55"/>
      <c r="MWS159" s="54"/>
      <c r="MWT159" s="56"/>
      <c r="MWU159" s="57"/>
      <c r="MWV159" s="54"/>
      <c r="MWW159" s="54"/>
      <c r="MWX159" s="54"/>
      <c r="MWY159" s="58"/>
      <c r="MWZ159" s="58"/>
      <c r="MXA159" s="58"/>
      <c r="MXB159" s="58"/>
      <c r="MXC159" s="59"/>
      <c r="MXD159" s="60"/>
      <c r="MXE159" s="54"/>
      <c r="MXF159" s="54"/>
      <c r="MXG159" s="36"/>
      <c r="MXH159" s="55"/>
      <c r="MXI159" s="54"/>
      <c r="MXJ159" s="56"/>
      <c r="MXK159" s="57"/>
      <c r="MXL159" s="54"/>
      <c r="MXM159" s="54"/>
      <c r="MXN159" s="54"/>
      <c r="MXO159" s="58"/>
      <c r="MXP159" s="58"/>
      <c r="MXQ159" s="58"/>
      <c r="MXR159" s="58"/>
      <c r="MXS159" s="59"/>
      <c r="MXT159" s="60"/>
      <c r="MXU159" s="54"/>
      <c r="MXV159" s="54"/>
      <c r="MXW159" s="36"/>
      <c r="MXX159" s="55"/>
      <c r="MXY159" s="54"/>
      <c r="MXZ159" s="56"/>
      <c r="MYA159" s="57"/>
      <c r="MYB159" s="54"/>
      <c r="MYC159" s="54"/>
      <c r="MYD159" s="54"/>
      <c r="MYE159" s="58"/>
      <c r="MYF159" s="58"/>
      <c r="MYG159" s="58"/>
      <c r="MYH159" s="58"/>
      <c r="MYI159" s="59"/>
      <c r="MYJ159" s="60"/>
      <c r="MYK159" s="54"/>
      <c r="MYL159" s="54"/>
      <c r="MYM159" s="36"/>
      <c r="MYN159" s="55"/>
      <c r="MYO159" s="54"/>
      <c r="MYP159" s="56"/>
      <c r="MYQ159" s="57"/>
      <c r="MYR159" s="54"/>
      <c r="MYS159" s="54"/>
      <c r="MYT159" s="54"/>
      <c r="MYU159" s="58"/>
      <c r="MYV159" s="58"/>
      <c r="MYW159" s="58"/>
      <c r="MYX159" s="58"/>
      <c r="MYY159" s="59"/>
      <c r="MYZ159" s="60"/>
      <c r="MZA159" s="54"/>
      <c r="MZB159" s="54"/>
      <c r="MZC159" s="36"/>
      <c r="MZD159" s="55"/>
      <c r="MZE159" s="54"/>
      <c r="MZF159" s="56"/>
      <c r="MZG159" s="57"/>
      <c r="MZH159" s="54"/>
      <c r="MZI159" s="54"/>
      <c r="MZJ159" s="54"/>
      <c r="MZK159" s="58"/>
      <c r="MZL159" s="58"/>
      <c r="MZM159" s="58"/>
      <c r="MZN159" s="58"/>
      <c r="MZO159" s="59"/>
      <c r="MZP159" s="60"/>
      <c r="MZQ159" s="54"/>
      <c r="MZR159" s="54"/>
      <c r="MZS159" s="36"/>
      <c r="MZT159" s="55"/>
      <c r="MZU159" s="54"/>
      <c r="MZV159" s="56"/>
      <c r="MZW159" s="57"/>
      <c r="MZX159" s="54"/>
      <c r="MZY159" s="54"/>
      <c r="MZZ159" s="54"/>
      <c r="NAA159" s="58"/>
      <c r="NAB159" s="58"/>
      <c r="NAC159" s="58"/>
      <c r="NAD159" s="58"/>
      <c r="NAE159" s="59"/>
      <c r="NAF159" s="60"/>
      <c r="NAG159" s="54"/>
      <c r="NAH159" s="54"/>
      <c r="NAI159" s="36"/>
      <c r="NAJ159" s="55"/>
      <c r="NAK159" s="54"/>
      <c r="NAL159" s="56"/>
      <c r="NAM159" s="57"/>
      <c r="NAN159" s="54"/>
      <c r="NAO159" s="54"/>
      <c r="NAP159" s="54"/>
      <c r="NAQ159" s="58"/>
      <c r="NAR159" s="58"/>
      <c r="NAS159" s="58"/>
      <c r="NAT159" s="58"/>
      <c r="NAU159" s="59"/>
      <c r="NAV159" s="60"/>
      <c r="NAW159" s="54"/>
      <c r="NAX159" s="54"/>
      <c r="NAY159" s="36"/>
      <c r="NAZ159" s="55"/>
      <c r="NBA159" s="54"/>
      <c r="NBB159" s="56"/>
      <c r="NBC159" s="57"/>
      <c r="NBD159" s="54"/>
      <c r="NBE159" s="54"/>
      <c r="NBF159" s="54"/>
      <c r="NBG159" s="58"/>
      <c r="NBH159" s="58"/>
      <c r="NBI159" s="58"/>
      <c r="NBJ159" s="58"/>
      <c r="NBK159" s="59"/>
      <c r="NBL159" s="60"/>
      <c r="NBM159" s="54"/>
      <c r="NBN159" s="54"/>
      <c r="NBO159" s="36"/>
      <c r="NBP159" s="55"/>
      <c r="NBQ159" s="54"/>
      <c r="NBR159" s="56"/>
      <c r="NBS159" s="57"/>
      <c r="NBT159" s="54"/>
      <c r="NBU159" s="54"/>
      <c r="NBV159" s="54"/>
      <c r="NBW159" s="58"/>
      <c r="NBX159" s="58"/>
      <c r="NBY159" s="58"/>
      <c r="NBZ159" s="58"/>
      <c r="NCA159" s="59"/>
      <c r="NCB159" s="60"/>
      <c r="NCC159" s="54"/>
      <c r="NCD159" s="54"/>
      <c r="NCE159" s="36"/>
      <c r="NCF159" s="55"/>
      <c r="NCG159" s="54"/>
      <c r="NCH159" s="56"/>
      <c r="NCI159" s="57"/>
      <c r="NCJ159" s="54"/>
      <c r="NCK159" s="54"/>
      <c r="NCL159" s="54"/>
      <c r="NCM159" s="58"/>
      <c r="NCN159" s="58"/>
      <c r="NCO159" s="58"/>
      <c r="NCP159" s="58"/>
      <c r="NCQ159" s="59"/>
      <c r="NCR159" s="60"/>
      <c r="NCS159" s="54"/>
      <c r="NCT159" s="54"/>
      <c r="NCU159" s="36"/>
      <c r="NCV159" s="55"/>
      <c r="NCW159" s="54"/>
      <c r="NCX159" s="56"/>
      <c r="NCY159" s="57"/>
      <c r="NCZ159" s="54"/>
      <c r="NDA159" s="54"/>
      <c r="NDB159" s="54"/>
      <c r="NDC159" s="58"/>
      <c r="NDD159" s="58"/>
      <c r="NDE159" s="58"/>
      <c r="NDF159" s="58"/>
      <c r="NDG159" s="59"/>
      <c r="NDH159" s="60"/>
      <c r="NDI159" s="54"/>
      <c r="NDJ159" s="54"/>
      <c r="NDK159" s="36"/>
      <c r="NDL159" s="55"/>
      <c r="NDM159" s="54"/>
      <c r="NDN159" s="56"/>
      <c r="NDO159" s="57"/>
      <c r="NDP159" s="54"/>
      <c r="NDQ159" s="54"/>
      <c r="NDR159" s="54"/>
      <c r="NDS159" s="58"/>
      <c r="NDT159" s="58"/>
      <c r="NDU159" s="58"/>
      <c r="NDV159" s="58"/>
      <c r="NDW159" s="59"/>
      <c r="NDX159" s="60"/>
      <c r="NDY159" s="54"/>
      <c r="NDZ159" s="54"/>
      <c r="NEA159" s="36"/>
      <c r="NEB159" s="55"/>
      <c r="NEC159" s="54"/>
      <c r="NED159" s="56"/>
      <c r="NEE159" s="57"/>
      <c r="NEF159" s="54"/>
      <c r="NEG159" s="54"/>
      <c r="NEH159" s="54"/>
      <c r="NEI159" s="58"/>
      <c r="NEJ159" s="58"/>
      <c r="NEK159" s="58"/>
      <c r="NEL159" s="58"/>
      <c r="NEM159" s="59"/>
      <c r="NEN159" s="60"/>
      <c r="NEO159" s="54"/>
      <c r="NEP159" s="54"/>
      <c r="NEQ159" s="36"/>
      <c r="NER159" s="55"/>
      <c r="NES159" s="54"/>
      <c r="NET159" s="56"/>
      <c r="NEU159" s="57"/>
      <c r="NEV159" s="54"/>
      <c r="NEW159" s="54"/>
      <c r="NEX159" s="54"/>
      <c r="NEY159" s="58"/>
      <c r="NEZ159" s="58"/>
      <c r="NFA159" s="58"/>
      <c r="NFB159" s="58"/>
      <c r="NFC159" s="59"/>
      <c r="NFD159" s="60"/>
      <c r="NFE159" s="54"/>
      <c r="NFF159" s="54"/>
      <c r="NFG159" s="36"/>
      <c r="NFH159" s="55"/>
      <c r="NFI159" s="54"/>
      <c r="NFJ159" s="56"/>
      <c r="NFK159" s="57"/>
      <c r="NFL159" s="54"/>
      <c r="NFM159" s="54"/>
      <c r="NFN159" s="54"/>
      <c r="NFO159" s="58"/>
      <c r="NFP159" s="58"/>
      <c r="NFQ159" s="58"/>
      <c r="NFR159" s="58"/>
      <c r="NFS159" s="59"/>
      <c r="NFT159" s="60"/>
      <c r="NFU159" s="54"/>
      <c r="NFV159" s="54"/>
      <c r="NFW159" s="36"/>
      <c r="NFX159" s="55"/>
      <c r="NFY159" s="54"/>
      <c r="NFZ159" s="56"/>
      <c r="NGA159" s="57"/>
      <c r="NGB159" s="54"/>
      <c r="NGC159" s="54"/>
      <c r="NGD159" s="54"/>
      <c r="NGE159" s="58"/>
      <c r="NGF159" s="58"/>
      <c r="NGG159" s="58"/>
      <c r="NGH159" s="58"/>
      <c r="NGI159" s="59"/>
      <c r="NGJ159" s="60"/>
      <c r="NGK159" s="54"/>
      <c r="NGL159" s="54"/>
      <c r="NGM159" s="36"/>
      <c r="NGN159" s="55"/>
      <c r="NGO159" s="54"/>
      <c r="NGP159" s="56"/>
      <c r="NGQ159" s="57"/>
      <c r="NGR159" s="54"/>
      <c r="NGS159" s="54"/>
      <c r="NGT159" s="54"/>
      <c r="NGU159" s="58"/>
      <c r="NGV159" s="58"/>
      <c r="NGW159" s="58"/>
      <c r="NGX159" s="58"/>
      <c r="NGY159" s="59"/>
      <c r="NGZ159" s="60"/>
      <c r="NHA159" s="54"/>
      <c r="NHB159" s="54"/>
      <c r="NHC159" s="36"/>
      <c r="NHD159" s="55"/>
      <c r="NHE159" s="54"/>
      <c r="NHF159" s="56"/>
      <c r="NHG159" s="57"/>
      <c r="NHH159" s="54"/>
      <c r="NHI159" s="54"/>
      <c r="NHJ159" s="54"/>
      <c r="NHK159" s="58"/>
      <c r="NHL159" s="58"/>
      <c r="NHM159" s="58"/>
      <c r="NHN159" s="58"/>
      <c r="NHO159" s="59"/>
      <c r="NHP159" s="60"/>
      <c r="NHQ159" s="54"/>
      <c r="NHR159" s="54"/>
      <c r="NHS159" s="36"/>
      <c r="NHT159" s="55"/>
      <c r="NHU159" s="54"/>
      <c r="NHV159" s="56"/>
      <c r="NHW159" s="57"/>
      <c r="NHX159" s="54"/>
      <c r="NHY159" s="54"/>
      <c r="NHZ159" s="54"/>
      <c r="NIA159" s="58"/>
      <c r="NIB159" s="58"/>
      <c r="NIC159" s="58"/>
      <c r="NID159" s="58"/>
      <c r="NIE159" s="59"/>
      <c r="NIF159" s="60"/>
      <c r="NIG159" s="54"/>
      <c r="NIH159" s="54"/>
      <c r="NII159" s="36"/>
      <c r="NIJ159" s="55"/>
      <c r="NIK159" s="54"/>
      <c r="NIL159" s="56"/>
      <c r="NIM159" s="57"/>
      <c r="NIN159" s="54"/>
      <c r="NIO159" s="54"/>
      <c r="NIP159" s="54"/>
      <c r="NIQ159" s="58"/>
      <c r="NIR159" s="58"/>
      <c r="NIS159" s="58"/>
      <c r="NIT159" s="58"/>
      <c r="NIU159" s="59"/>
      <c r="NIV159" s="60"/>
      <c r="NIW159" s="54"/>
      <c r="NIX159" s="54"/>
      <c r="NIY159" s="36"/>
      <c r="NIZ159" s="55"/>
      <c r="NJA159" s="54"/>
      <c r="NJB159" s="56"/>
      <c r="NJC159" s="57"/>
      <c r="NJD159" s="54"/>
      <c r="NJE159" s="54"/>
      <c r="NJF159" s="54"/>
      <c r="NJG159" s="58"/>
      <c r="NJH159" s="58"/>
      <c r="NJI159" s="58"/>
      <c r="NJJ159" s="58"/>
      <c r="NJK159" s="59"/>
      <c r="NJL159" s="60"/>
      <c r="NJM159" s="54"/>
      <c r="NJN159" s="54"/>
      <c r="NJO159" s="36"/>
      <c r="NJP159" s="55"/>
      <c r="NJQ159" s="54"/>
      <c r="NJR159" s="56"/>
      <c r="NJS159" s="57"/>
      <c r="NJT159" s="54"/>
      <c r="NJU159" s="54"/>
      <c r="NJV159" s="54"/>
      <c r="NJW159" s="58"/>
      <c r="NJX159" s="58"/>
      <c r="NJY159" s="58"/>
      <c r="NJZ159" s="58"/>
      <c r="NKA159" s="59"/>
      <c r="NKB159" s="60"/>
      <c r="NKC159" s="54"/>
      <c r="NKD159" s="54"/>
      <c r="NKE159" s="36"/>
      <c r="NKF159" s="55"/>
      <c r="NKG159" s="54"/>
      <c r="NKH159" s="56"/>
      <c r="NKI159" s="57"/>
      <c r="NKJ159" s="54"/>
      <c r="NKK159" s="54"/>
      <c r="NKL159" s="54"/>
      <c r="NKM159" s="58"/>
      <c r="NKN159" s="58"/>
      <c r="NKO159" s="58"/>
      <c r="NKP159" s="58"/>
      <c r="NKQ159" s="59"/>
      <c r="NKR159" s="60"/>
      <c r="NKS159" s="54"/>
      <c r="NKT159" s="54"/>
      <c r="NKU159" s="36"/>
      <c r="NKV159" s="55"/>
      <c r="NKW159" s="54"/>
      <c r="NKX159" s="56"/>
      <c r="NKY159" s="57"/>
      <c r="NKZ159" s="54"/>
      <c r="NLA159" s="54"/>
      <c r="NLB159" s="54"/>
      <c r="NLC159" s="58"/>
      <c r="NLD159" s="58"/>
      <c r="NLE159" s="58"/>
      <c r="NLF159" s="58"/>
      <c r="NLG159" s="59"/>
      <c r="NLH159" s="60"/>
      <c r="NLI159" s="54"/>
      <c r="NLJ159" s="54"/>
      <c r="NLK159" s="36"/>
      <c r="NLL159" s="55"/>
      <c r="NLM159" s="54"/>
      <c r="NLN159" s="56"/>
      <c r="NLO159" s="57"/>
      <c r="NLP159" s="54"/>
      <c r="NLQ159" s="54"/>
      <c r="NLR159" s="54"/>
      <c r="NLS159" s="58"/>
      <c r="NLT159" s="58"/>
      <c r="NLU159" s="58"/>
      <c r="NLV159" s="58"/>
      <c r="NLW159" s="59"/>
      <c r="NLX159" s="60"/>
      <c r="NLY159" s="54"/>
      <c r="NLZ159" s="54"/>
      <c r="NMA159" s="36"/>
      <c r="NMB159" s="55"/>
      <c r="NMC159" s="54"/>
      <c r="NMD159" s="56"/>
      <c r="NME159" s="57"/>
      <c r="NMF159" s="54"/>
      <c r="NMG159" s="54"/>
      <c r="NMH159" s="54"/>
      <c r="NMI159" s="58"/>
      <c r="NMJ159" s="58"/>
      <c r="NMK159" s="58"/>
      <c r="NML159" s="58"/>
      <c r="NMM159" s="59"/>
      <c r="NMN159" s="60"/>
      <c r="NMO159" s="54"/>
      <c r="NMP159" s="54"/>
      <c r="NMQ159" s="36"/>
      <c r="NMR159" s="55"/>
      <c r="NMS159" s="54"/>
      <c r="NMT159" s="56"/>
      <c r="NMU159" s="57"/>
      <c r="NMV159" s="54"/>
      <c r="NMW159" s="54"/>
      <c r="NMX159" s="54"/>
      <c r="NMY159" s="58"/>
      <c r="NMZ159" s="58"/>
      <c r="NNA159" s="58"/>
      <c r="NNB159" s="58"/>
      <c r="NNC159" s="59"/>
      <c r="NND159" s="60"/>
      <c r="NNE159" s="54"/>
      <c r="NNF159" s="54"/>
      <c r="NNG159" s="36"/>
      <c r="NNH159" s="55"/>
      <c r="NNI159" s="54"/>
      <c r="NNJ159" s="56"/>
      <c r="NNK159" s="57"/>
      <c r="NNL159" s="54"/>
      <c r="NNM159" s="54"/>
      <c r="NNN159" s="54"/>
      <c r="NNO159" s="58"/>
      <c r="NNP159" s="58"/>
      <c r="NNQ159" s="58"/>
      <c r="NNR159" s="58"/>
      <c r="NNS159" s="59"/>
      <c r="NNT159" s="60"/>
      <c r="NNU159" s="54"/>
      <c r="NNV159" s="54"/>
      <c r="NNW159" s="36"/>
      <c r="NNX159" s="55"/>
      <c r="NNY159" s="54"/>
      <c r="NNZ159" s="56"/>
      <c r="NOA159" s="57"/>
      <c r="NOB159" s="54"/>
      <c r="NOC159" s="54"/>
      <c r="NOD159" s="54"/>
      <c r="NOE159" s="58"/>
      <c r="NOF159" s="58"/>
      <c r="NOG159" s="58"/>
      <c r="NOH159" s="58"/>
      <c r="NOI159" s="59"/>
      <c r="NOJ159" s="60"/>
      <c r="NOK159" s="54"/>
      <c r="NOL159" s="54"/>
      <c r="NOM159" s="36"/>
      <c r="NON159" s="55"/>
      <c r="NOO159" s="54"/>
      <c r="NOP159" s="56"/>
      <c r="NOQ159" s="57"/>
      <c r="NOR159" s="54"/>
      <c r="NOS159" s="54"/>
      <c r="NOT159" s="54"/>
      <c r="NOU159" s="58"/>
      <c r="NOV159" s="58"/>
      <c r="NOW159" s="58"/>
      <c r="NOX159" s="58"/>
      <c r="NOY159" s="59"/>
      <c r="NOZ159" s="60"/>
      <c r="NPA159" s="54"/>
      <c r="NPB159" s="54"/>
      <c r="NPC159" s="36"/>
      <c r="NPD159" s="55"/>
      <c r="NPE159" s="54"/>
      <c r="NPF159" s="56"/>
      <c r="NPG159" s="57"/>
      <c r="NPH159" s="54"/>
      <c r="NPI159" s="54"/>
      <c r="NPJ159" s="54"/>
      <c r="NPK159" s="58"/>
      <c r="NPL159" s="58"/>
      <c r="NPM159" s="58"/>
      <c r="NPN159" s="58"/>
      <c r="NPO159" s="59"/>
      <c r="NPP159" s="60"/>
      <c r="NPQ159" s="54"/>
      <c r="NPR159" s="54"/>
      <c r="NPS159" s="36"/>
      <c r="NPT159" s="55"/>
      <c r="NPU159" s="54"/>
      <c r="NPV159" s="56"/>
      <c r="NPW159" s="57"/>
      <c r="NPX159" s="54"/>
      <c r="NPY159" s="54"/>
      <c r="NPZ159" s="54"/>
      <c r="NQA159" s="58"/>
      <c r="NQB159" s="58"/>
      <c r="NQC159" s="58"/>
      <c r="NQD159" s="58"/>
      <c r="NQE159" s="59"/>
      <c r="NQF159" s="60"/>
      <c r="NQG159" s="54"/>
      <c r="NQH159" s="54"/>
      <c r="NQI159" s="36"/>
      <c r="NQJ159" s="55"/>
      <c r="NQK159" s="54"/>
      <c r="NQL159" s="56"/>
      <c r="NQM159" s="57"/>
      <c r="NQN159" s="54"/>
      <c r="NQO159" s="54"/>
      <c r="NQP159" s="54"/>
      <c r="NQQ159" s="58"/>
      <c r="NQR159" s="58"/>
      <c r="NQS159" s="58"/>
      <c r="NQT159" s="58"/>
      <c r="NQU159" s="59"/>
      <c r="NQV159" s="60"/>
      <c r="NQW159" s="54"/>
      <c r="NQX159" s="54"/>
      <c r="NQY159" s="36"/>
      <c r="NQZ159" s="55"/>
      <c r="NRA159" s="54"/>
      <c r="NRB159" s="56"/>
      <c r="NRC159" s="57"/>
      <c r="NRD159" s="54"/>
      <c r="NRE159" s="54"/>
      <c r="NRF159" s="54"/>
      <c r="NRG159" s="58"/>
      <c r="NRH159" s="58"/>
      <c r="NRI159" s="58"/>
      <c r="NRJ159" s="58"/>
      <c r="NRK159" s="59"/>
      <c r="NRL159" s="60"/>
      <c r="NRM159" s="54"/>
      <c r="NRN159" s="54"/>
      <c r="NRO159" s="36"/>
      <c r="NRP159" s="55"/>
      <c r="NRQ159" s="54"/>
      <c r="NRR159" s="56"/>
      <c r="NRS159" s="57"/>
      <c r="NRT159" s="54"/>
      <c r="NRU159" s="54"/>
      <c r="NRV159" s="54"/>
      <c r="NRW159" s="58"/>
      <c r="NRX159" s="58"/>
      <c r="NRY159" s="58"/>
      <c r="NRZ159" s="58"/>
      <c r="NSA159" s="59"/>
      <c r="NSB159" s="60"/>
      <c r="NSC159" s="54"/>
      <c r="NSD159" s="54"/>
      <c r="NSE159" s="36"/>
      <c r="NSF159" s="55"/>
      <c r="NSG159" s="54"/>
      <c r="NSH159" s="56"/>
      <c r="NSI159" s="57"/>
      <c r="NSJ159" s="54"/>
      <c r="NSK159" s="54"/>
      <c r="NSL159" s="54"/>
      <c r="NSM159" s="58"/>
      <c r="NSN159" s="58"/>
      <c r="NSO159" s="58"/>
      <c r="NSP159" s="58"/>
      <c r="NSQ159" s="59"/>
      <c r="NSR159" s="60"/>
      <c r="NSS159" s="54"/>
      <c r="NST159" s="54"/>
      <c r="NSU159" s="36"/>
      <c r="NSV159" s="55"/>
      <c r="NSW159" s="54"/>
      <c r="NSX159" s="56"/>
      <c r="NSY159" s="57"/>
      <c r="NSZ159" s="54"/>
      <c r="NTA159" s="54"/>
      <c r="NTB159" s="54"/>
      <c r="NTC159" s="58"/>
      <c r="NTD159" s="58"/>
      <c r="NTE159" s="58"/>
      <c r="NTF159" s="58"/>
      <c r="NTG159" s="59"/>
      <c r="NTH159" s="60"/>
      <c r="NTI159" s="54"/>
      <c r="NTJ159" s="54"/>
      <c r="NTK159" s="36"/>
      <c r="NTL159" s="55"/>
      <c r="NTM159" s="54"/>
      <c r="NTN159" s="56"/>
      <c r="NTO159" s="57"/>
      <c r="NTP159" s="54"/>
      <c r="NTQ159" s="54"/>
      <c r="NTR159" s="54"/>
      <c r="NTS159" s="58"/>
      <c r="NTT159" s="58"/>
      <c r="NTU159" s="58"/>
      <c r="NTV159" s="58"/>
      <c r="NTW159" s="59"/>
      <c r="NTX159" s="60"/>
      <c r="NTY159" s="54"/>
      <c r="NTZ159" s="54"/>
      <c r="NUA159" s="36"/>
      <c r="NUB159" s="55"/>
      <c r="NUC159" s="54"/>
      <c r="NUD159" s="56"/>
      <c r="NUE159" s="57"/>
      <c r="NUF159" s="54"/>
      <c r="NUG159" s="54"/>
      <c r="NUH159" s="54"/>
      <c r="NUI159" s="58"/>
      <c r="NUJ159" s="58"/>
      <c r="NUK159" s="58"/>
      <c r="NUL159" s="58"/>
      <c r="NUM159" s="59"/>
      <c r="NUN159" s="60"/>
      <c r="NUO159" s="54"/>
      <c r="NUP159" s="54"/>
      <c r="NUQ159" s="36"/>
      <c r="NUR159" s="55"/>
      <c r="NUS159" s="54"/>
      <c r="NUT159" s="56"/>
      <c r="NUU159" s="57"/>
      <c r="NUV159" s="54"/>
      <c r="NUW159" s="54"/>
      <c r="NUX159" s="54"/>
      <c r="NUY159" s="58"/>
      <c r="NUZ159" s="58"/>
      <c r="NVA159" s="58"/>
      <c r="NVB159" s="58"/>
      <c r="NVC159" s="59"/>
      <c r="NVD159" s="60"/>
      <c r="NVE159" s="54"/>
      <c r="NVF159" s="54"/>
      <c r="NVG159" s="36"/>
      <c r="NVH159" s="55"/>
      <c r="NVI159" s="54"/>
      <c r="NVJ159" s="56"/>
      <c r="NVK159" s="57"/>
      <c r="NVL159" s="54"/>
      <c r="NVM159" s="54"/>
      <c r="NVN159" s="54"/>
      <c r="NVO159" s="58"/>
      <c r="NVP159" s="58"/>
      <c r="NVQ159" s="58"/>
      <c r="NVR159" s="58"/>
      <c r="NVS159" s="59"/>
      <c r="NVT159" s="60"/>
      <c r="NVU159" s="54"/>
      <c r="NVV159" s="54"/>
      <c r="NVW159" s="36"/>
      <c r="NVX159" s="55"/>
      <c r="NVY159" s="54"/>
      <c r="NVZ159" s="56"/>
      <c r="NWA159" s="57"/>
      <c r="NWB159" s="54"/>
      <c r="NWC159" s="54"/>
      <c r="NWD159" s="54"/>
      <c r="NWE159" s="58"/>
      <c r="NWF159" s="58"/>
      <c r="NWG159" s="58"/>
      <c r="NWH159" s="58"/>
      <c r="NWI159" s="59"/>
      <c r="NWJ159" s="60"/>
      <c r="NWK159" s="54"/>
      <c r="NWL159" s="54"/>
      <c r="NWM159" s="36"/>
      <c r="NWN159" s="55"/>
      <c r="NWO159" s="54"/>
      <c r="NWP159" s="56"/>
      <c r="NWQ159" s="57"/>
      <c r="NWR159" s="54"/>
      <c r="NWS159" s="54"/>
      <c r="NWT159" s="54"/>
      <c r="NWU159" s="58"/>
      <c r="NWV159" s="58"/>
      <c r="NWW159" s="58"/>
      <c r="NWX159" s="58"/>
      <c r="NWY159" s="59"/>
      <c r="NWZ159" s="60"/>
      <c r="NXA159" s="54"/>
      <c r="NXB159" s="54"/>
      <c r="NXC159" s="36"/>
      <c r="NXD159" s="55"/>
      <c r="NXE159" s="54"/>
      <c r="NXF159" s="56"/>
      <c r="NXG159" s="57"/>
      <c r="NXH159" s="54"/>
      <c r="NXI159" s="54"/>
      <c r="NXJ159" s="54"/>
      <c r="NXK159" s="58"/>
      <c r="NXL159" s="58"/>
      <c r="NXM159" s="58"/>
      <c r="NXN159" s="58"/>
      <c r="NXO159" s="59"/>
      <c r="NXP159" s="60"/>
      <c r="NXQ159" s="54"/>
      <c r="NXR159" s="54"/>
      <c r="NXS159" s="36"/>
      <c r="NXT159" s="55"/>
      <c r="NXU159" s="54"/>
      <c r="NXV159" s="56"/>
      <c r="NXW159" s="57"/>
      <c r="NXX159" s="54"/>
      <c r="NXY159" s="54"/>
      <c r="NXZ159" s="54"/>
      <c r="NYA159" s="58"/>
      <c r="NYB159" s="58"/>
      <c r="NYC159" s="58"/>
      <c r="NYD159" s="58"/>
      <c r="NYE159" s="59"/>
      <c r="NYF159" s="60"/>
      <c r="NYG159" s="54"/>
      <c r="NYH159" s="54"/>
      <c r="NYI159" s="36"/>
      <c r="NYJ159" s="55"/>
      <c r="NYK159" s="54"/>
      <c r="NYL159" s="56"/>
      <c r="NYM159" s="57"/>
      <c r="NYN159" s="54"/>
      <c r="NYO159" s="54"/>
      <c r="NYP159" s="54"/>
      <c r="NYQ159" s="58"/>
      <c r="NYR159" s="58"/>
      <c r="NYS159" s="58"/>
      <c r="NYT159" s="58"/>
      <c r="NYU159" s="59"/>
      <c r="NYV159" s="60"/>
      <c r="NYW159" s="54"/>
      <c r="NYX159" s="54"/>
      <c r="NYY159" s="36"/>
      <c r="NYZ159" s="55"/>
      <c r="NZA159" s="54"/>
      <c r="NZB159" s="56"/>
      <c r="NZC159" s="57"/>
      <c r="NZD159" s="54"/>
      <c r="NZE159" s="54"/>
      <c r="NZF159" s="54"/>
      <c r="NZG159" s="58"/>
      <c r="NZH159" s="58"/>
      <c r="NZI159" s="58"/>
      <c r="NZJ159" s="58"/>
      <c r="NZK159" s="59"/>
      <c r="NZL159" s="60"/>
      <c r="NZM159" s="54"/>
      <c r="NZN159" s="54"/>
      <c r="NZO159" s="36"/>
      <c r="NZP159" s="55"/>
      <c r="NZQ159" s="54"/>
      <c r="NZR159" s="56"/>
      <c r="NZS159" s="57"/>
      <c r="NZT159" s="54"/>
      <c r="NZU159" s="54"/>
      <c r="NZV159" s="54"/>
      <c r="NZW159" s="58"/>
      <c r="NZX159" s="58"/>
      <c r="NZY159" s="58"/>
      <c r="NZZ159" s="58"/>
      <c r="OAA159" s="59"/>
      <c r="OAB159" s="60"/>
      <c r="OAC159" s="54"/>
      <c r="OAD159" s="54"/>
      <c r="OAE159" s="36"/>
      <c r="OAF159" s="55"/>
      <c r="OAG159" s="54"/>
      <c r="OAH159" s="56"/>
      <c r="OAI159" s="57"/>
      <c r="OAJ159" s="54"/>
      <c r="OAK159" s="54"/>
      <c r="OAL159" s="54"/>
      <c r="OAM159" s="58"/>
      <c r="OAN159" s="58"/>
      <c r="OAO159" s="58"/>
      <c r="OAP159" s="58"/>
      <c r="OAQ159" s="59"/>
      <c r="OAR159" s="60"/>
      <c r="OAS159" s="54"/>
      <c r="OAT159" s="54"/>
      <c r="OAU159" s="36"/>
      <c r="OAV159" s="55"/>
      <c r="OAW159" s="54"/>
      <c r="OAX159" s="56"/>
      <c r="OAY159" s="57"/>
      <c r="OAZ159" s="54"/>
      <c r="OBA159" s="54"/>
      <c r="OBB159" s="54"/>
      <c r="OBC159" s="58"/>
      <c r="OBD159" s="58"/>
      <c r="OBE159" s="58"/>
      <c r="OBF159" s="58"/>
      <c r="OBG159" s="59"/>
      <c r="OBH159" s="60"/>
      <c r="OBI159" s="54"/>
      <c r="OBJ159" s="54"/>
      <c r="OBK159" s="36"/>
      <c r="OBL159" s="55"/>
      <c r="OBM159" s="54"/>
      <c r="OBN159" s="56"/>
      <c r="OBO159" s="57"/>
      <c r="OBP159" s="54"/>
      <c r="OBQ159" s="54"/>
      <c r="OBR159" s="54"/>
      <c r="OBS159" s="58"/>
      <c r="OBT159" s="58"/>
      <c r="OBU159" s="58"/>
      <c r="OBV159" s="58"/>
      <c r="OBW159" s="59"/>
      <c r="OBX159" s="60"/>
      <c r="OBY159" s="54"/>
      <c r="OBZ159" s="54"/>
      <c r="OCA159" s="36"/>
      <c r="OCB159" s="55"/>
      <c r="OCC159" s="54"/>
      <c r="OCD159" s="56"/>
      <c r="OCE159" s="57"/>
      <c r="OCF159" s="54"/>
      <c r="OCG159" s="54"/>
      <c r="OCH159" s="54"/>
      <c r="OCI159" s="58"/>
      <c r="OCJ159" s="58"/>
      <c r="OCK159" s="58"/>
      <c r="OCL159" s="58"/>
      <c r="OCM159" s="59"/>
      <c r="OCN159" s="60"/>
      <c r="OCO159" s="54"/>
      <c r="OCP159" s="54"/>
      <c r="OCQ159" s="36"/>
      <c r="OCR159" s="55"/>
      <c r="OCS159" s="54"/>
      <c r="OCT159" s="56"/>
      <c r="OCU159" s="57"/>
      <c r="OCV159" s="54"/>
      <c r="OCW159" s="54"/>
      <c r="OCX159" s="54"/>
      <c r="OCY159" s="58"/>
      <c r="OCZ159" s="58"/>
      <c r="ODA159" s="58"/>
      <c r="ODB159" s="58"/>
      <c r="ODC159" s="59"/>
      <c r="ODD159" s="60"/>
      <c r="ODE159" s="54"/>
      <c r="ODF159" s="54"/>
      <c r="ODG159" s="36"/>
      <c r="ODH159" s="55"/>
      <c r="ODI159" s="54"/>
      <c r="ODJ159" s="56"/>
      <c r="ODK159" s="57"/>
      <c r="ODL159" s="54"/>
      <c r="ODM159" s="54"/>
      <c r="ODN159" s="54"/>
      <c r="ODO159" s="58"/>
      <c r="ODP159" s="58"/>
      <c r="ODQ159" s="58"/>
      <c r="ODR159" s="58"/>
      <c r="ODS159" s="59"/>
      <c r="ODT159" s="60"/>
      <c r="ODU159" s="54"/>
      <c r="ODV159" s="54"/>
      <c r="ODW159" s="36"/>
      <c r="ODX159" s="55"/>
      <c r="ODY159" s="54"/>
      <c r="ODZ159" s="56"/>
      <c r="OEA159" s="57"/>
      <c r="OEB159" s="54"/>
      <c r="OEC159" s="54"/>
      <c r="OED159" s="54"/>
      <c r="OEE159" s="58"/>
      <c r="OEF159" s="58"/>
      <c r="OEG159" s="58"/>
      <c r="OEH159" s="58"/>
      <c r="OEI159" s="59"/>
      <c r="OEJ159" s="60"/>
      <c r="OEK159" s="54"/>
      <c r="OEL159" s="54"/>
      <c r="OEM159" s="36"/>
      <c r="OEN159" s="55"/>
      <c r="OEO159" s="54"/>
      <c r="OEP159" s="56"/>
      <c r="OEQ159" s="57"/>
      <c r="OER159" s="54"/>
      <c r="OES159" s="54"/>
      <c r="OET159" s="54"/>
      <c r="OEU159" s="58"/>
      <c r="OEV159" s="58"/>
      <c r="OEW159" s="58"/>
      <c r="OEX159" s="58"/>
      <c r="OEY159" s="59"/>
      <c r="OEZ159" s="60"/>
      <c r="OFA159" s="54"/>
      <c r="OFB159" s="54"/>
      <c r="OFC159" s="36"/>
      <c r="OFD159" s="55"/>
      <c r="OFE159" s="54"/>
      <c r="OFF159" s="56"/>
      <c r="OFG159" s="57"/>
      <c r="OFH159" s="54"/>
      <c r="OFI159" s="54"/>
      <c r="OFJ159" s="54"/>
      <c r="OFK159" s="58"/>
      <c r="OFL159" s="58"/>
      <c r="OFM159" s="58"/>
      <c r="OFN159" s="58"/>
      <c r="OFO159" s="59"/>
      <c r="OFP159" s="60"/>
      <c r="OFQ159" s="54"/>
      <c r="OFR159" s="54"/>
      <c r="OFS159" s="36"/>
      <c r="OFT159" s="55"/>
      <c r="OFU159" s="54"/>
      <c r="OFV159" s="56"/>
      <c r="OFW159" s="57"/>
      <c r="OFX159" s="54"/>
      <c r="OFY159" s="54"/>
      <c r="OFZ159" s="54"/>
      <c r="OGA159" s="58"/>
      <c r="OGB159" s="58"/>
      <c r="OGC159" s="58"/>
      <c r="OGD159" s="58"/>
      <c r="OGE159" s="59"/>
      <c r="OGF159" s="60"/>
      <c r="OGG159" s="54"/>
      <c r="OGH159" s="54"/>
      <c r="OGI159" s="36"/>
      <c r="OGJ159" s="55"/>
      <c r="OGK159" s="54"/>
      <c r="OGL159" s="56"/>
      <c r="OGM159" s="57"/>
      <c r="OGN159" s="54"/>
      <c r="OGO159" s="54"/>
      <c r="OGP159" s="54"/>
      <c r="OGQ159" s="58"/>
      <c r="OGR159" s="58"/>
      <c r="OGS159" s="58"/>
      <c r="OGT159" s="58"/>
      <c r="OGU159" s="59"/>
      <c r="OGV159" s="60"/>
      <c r="OGW159" s="54"/>
      <c r="OGX159" s="54"/>
      <c r="OGY159" s="36"/>
      <c r="OGZ159" s="55"/>
      <c r="OHA159" s="54"/>
      <c r="OHB159" s="56"/>
      <c r="OHC159" s="57"/>
      <c r="OHD159" s="54"/>
      <c r="OHE159" s="54"/>
      <c r="OHF159" s="54"/>
      <c r="OHG159" s="58"/>
      <c r="OHH159" s="58"/>
      <c r="OHI159" s="58"/>
      <c r="OHJ159" s="58"/>
      <c r="OHK159" s="59"/>
      <c r="OHL159" s="60"/>
      <c r="OHM159" s="54"/>
      <c r="OHN159" s="54"/>
      <c r="OHO159" s="36"/>
      <c r="OHP159" s="55"/>
      <c r="OHQ159" s="54"/>
      <c r="OHR159" s="56"/>
      <c r="OHS159" s="57"/>
      <c r="OHT159" s="54"/>
      <c r="OHU159" s="54"/>
      <c r="OHV159" s="54"/>
      <c r="OHW159" s="58"/>
      <c r="OHX159" s="58"/>
      <c r="OHY159" s="58"/>
      <c r="OHZ159" s="58"/>
      <c r="OIA159" s="59"/>
      <c r="OIB159" s="60"/>
      <c r="OIC159" s="54"/>
      <c r="OID159" s="54"/>
      <c r="OIE159" s="36"/>
      <c r="OIF159" s="55"/>
      <c r="OIG159" s="54"/>
      <c r="OIH159" s="56"/>
      <c r="OII159" s="57"/>
      <c r="OIJ159" s="54"/>
      <c r="OIK159" s="54"/>
      <c r="OIL159" s="54"/>
      <c r="OIM159" s="58"/>
      <c r="OIN159" s="58"/>
      <c r="OIO159" s="58"/>
      <c r="OIP159" s="58"/>
      <c r="OIQ159" s="59"/>
      <c r="OIR159" s="60"/>
      <c r="OIS159" s="54"/>
      <c r="OIT159" s="54"/>
      <c r="OIU159" s="36"/>
      <c r="OIV159" s="55"/>
      <c r="OIW159" s="54"/>
      <c r="OIX159" s="56"/>
      <c r="OIY159" s="57"/>
      <c r="OIZ159" s="54"/>
      <c r="OJA159" s="54"/>
      <c r="OJB159" s="54"/>
      <c r="OJC159" s="58"/>
      <c r="OJD159" s="58"/>
      <c r="OJE159" s="58"/>
      <c r="OJF159" s="58"/>
      <c r="OJG159" s="59"/>
      <c r="OJH159" s="60"/>
      <c r="OJI159" s="54"/>
      <c r="OJJ159" s="54"/>
      <c r="OJK159" s="36"/>
      <c r="OJL159" s="55"/>
      <c r="OJM159" s="54"/>
      <c r="OJN159" s="56"/>
      <c r="OJO159" s="57"/>
      <c r="OJP159" s="54"/>
      <c r="OJQ159" s="54"/>
      <c r="OJR159" s="54"/>
      <c r="OJS159" s="58"/>
      <c r="OJT159" s="58"/>
      <c r="OJU159" s="58"/>
      <c r="OJV159" s="58"/>
      <c r="OJW159" s="59"/>
      <c r="OJX159" s="60"/>
      <c r="OJY159" s="54"/>
      <c r="OJZ159" s="54"/>
      <c r="OKA159" s="36"/>
      <c r="OKB159" s="55"/>
      <c r="OKC159" s="54"/>
      <c r="OKD159" s="56"/>
      <c r="OKE159" s="57"/>
      <c r="OKF159" s="54"/>
      <c r="OKG159" s="54"/>
      <c r="OKH159" s="54"/>
      <c r="OKI159" s="58"/>
      <c r="OKJ159" s="58"/>
      <c r="OKK159" s="58"/>
      <c r="OKL159" s="58"/>
      <c r="OKM159" s="59"/>
      <c r="OKN159" s="60"/>
      <c r="OKO159" s="54"/>
      <c r="OKP159" s="54"/>
      <c r="OKQ159" s="36"/>
      <c r="OKR159" s="55"/>
      <c r="OKS159" s="54"/>
      <c r="OKT159" s="56"/>
      <c r="OKU159" s="57"/>
      <c r="OKV159" s="54"/>
      <c r="OKW159" s="54"/>
      <c r="OKX159" s="54"/>
      <c r="OKY159" s="58"/>
      <c r="OKZ159" s="58"/>
      <c r="OLA159" s="58"/>
      <c r="OLB159" s="58"/>
      <c r="OLC159" s="59"/>
      <c r="OLD159" s="60"/>
      <c r="OLE159" s="54"/>
      <c r="OLF159" s="54"/>
      <c r="OLG159" s="36"/>
      <c r="OLH159" s="55"/>
      <c r="OLI159" s="54"/>
      <c r="OLJ159" s="56"/>
      <c r="OLK159" s="57"/>
      <c r="OLL159" s="54"/>
      <c r="OLM159" s="54"/>
      <c r="OLN159" s="54"/>
      <c r="OLO159" s="58"/>
      <c r="OLP159" s="58"/>
      <c r="OLQ159" s="58"/>
      <c r="OLR159" s="58"/>
      <c r="OLS159" s="59"/>
      <c r="OLT159" s="60"/>
      <c r="OLU159" s="54"/>
      <c r="OLV159" s="54"/>
      <c r="OLW159" s="36"/>
      <c r="OLX159" s="55"/>
      <c r="OLY159" s="54"/>
      <c r="OLZ159" s="56"/>
      <c r="OMA159" s="57"/>
      <c r="OMB159" s="54"/>
      <c r="OMC159" s="54"/>
      <c r="OMD159" s="54"/>
      <c r="OME159" s="58"/>
      <c r="OMF159" s="58"/>
      <c r="OMG159" s="58"/>
      <c r="OMH159" s="58"/>
      <c r="OMI159" s="59"/>
      <c r="OMJ159" s="60"/>
      <c r="OMK159" s="54"/>
      <c r="OML159" s="54"/>
      <c r="OMM159" s="36"/>
      <c r="OMN159" s="55"/>
      <c r="OMO159" s="54"/>
      <c r="OMP159" s="56"/>
      <c r="OMQ159" s="57"/>
      <c r="OMR159" s="54"/>
      <c r="OMS159" s="54"/>
      <c r="OMT159" s="54"/>
      <c r="OMU159" s="58"/>
      <c r="OMV159" s="58"/>
      <c r="OMW159" s="58"/>
      <c r="OMX159" s="58"/>
      <c r="OMY159" s="59"/>
      <c r="OMZ159" s="60"/>
      <c r="ONA159" s="54"/>
      <c r="ONB159" s="54"/>
      <c r="ONC159" s="36"/>
      <c r="OND159" s="55"/>
      <c r="ONE159" s="54"/>
      <c r="ONF159" s="56"/>
      <c r="ONG159" s="57"/>
      <c r="ONH159" s="54"/>
      <c r="ONI159" s="54"/>
      <c r="ONJ159" s="54"/>
      <c r="ONK159" s="58"/>
      <c r="ONL159" s="58"/>
      <c r="ONM159" s="58"/>
      <c r="ONN159" s="58"/>
      <c r="ONO159" s="59"/>
      <c r="ONP159" s="60"/>
      <c r="ONQ159" s="54"/>
      <c r="ONR159" s="54"/>
      <c r="ONS159" s="36"/>
      <c r="ONT159" s="55"/>
      <c r="ONU159" s="54"/>
      <c r="ONV159" s="56"/>
      <c r="ONW159" s="57"/>
      <c r="ONX159" s="54"/>
      <c r="ONY159" s="54"/>
      <c r="ONZ159" s="54"/>
      <c r="OOA159" s="58"/>
      <c r="OOB159" s="58"/>
      <c r="OOC159" s="58"/>
      <c r="OOD159" s="58"/>
      <c r="OOE159" s="59"/>
      <c r="OOF159" s="60"/>
      <c r="OOG159" s="54"/>
      <c r="OOH159" s="54"/>
      <c r="OOI159" s="36"/>
      <c r="OOJ159" s="55"/>
      <c r="OOK159" s="54"/>
      <c r="OOL159" s="56"/>
      <c r="OOM159" s="57"/>
      <c r="OON159" s="54"/>
      <c r="OOO159" s="54"/>
      <c r="OOP159" s="54"/>
      <c r="OOQ159" s="58"/>
      <c r="OOR159" s="58"/>
      <c r="OOS159" s="58"/>
      <c r="OOT159" s="58"/>
      <c r="OOU159" s="59"/>
      <c r="OOV159" s="60"/>
      <c r="OOW159" s="54"/>
      <c r="OOX159" s="54"/>
      <c r="OOY159" s="36"/>
      <c r="OOZ159" s="55"/>
      <c r="OPA159" s="54"/>
      <c r="OPB159" s="56"/>
      <c r="OPC159" s="57"/>
      <c r="OPD159" s="54"/>
      <c r="OPE159" s="54"/>
      <c r="OPF159" s="54"/>
      <c r="OPG159" s="58"/>
      <c r="OPH159" s="58"/>
      <c r="OPI159" s="58"/>
      <c r="OPJ159" s="58"/>
      <c r="OPK159" s="59"/>
      <c r="OPL159" s="60"/>
      <c r="OPM159" s="54"/>
      <c r="OPN159" s="54"/>
      <c r="OPO159" s="36"/>
      <c r="OPP159" s="55"/>
      <c r="OPQ159" s="54"/>
      <c r="OPR159" s="56"/>
      <c r="OPS159" s="57"/>
      <c r="OPT159" s="54"/>
      <c r="OPU159" s="54"/>
      <c r="OPV159" s="54"/>
      <c r="OPW159" s="58"/>
      <c r="OPX159" s="58"/>
      <c r="OPY159" s="58"/>
      <c r="OPZ159" s="58"/>
      <c r="OQA159" s="59"/>
      <c r="OQB159" s="60"/>
      <c r="OQC159" s="54"/>
      <c r="OQD159" s="54"/>
      <c r="OQE159" s="36"/>
      <c r="OQF159" s="55"/>
      <c r="OQG159" s="54"/>
      <c r="OQH159" s="56"/>
      <c r="OQI159" s="57"/>
      <c r="OQJ159" s="54"/>
      <c r="OQK159" s="54"/>
      <c r="OQL159" s="54"/>
      <c r="OQM159" s="58"/>
      <c r="OQN159" s="58"/>
      <c r="OQO159" s="58"/>
      <c r="OQP159" s="58"/>
      <c r="OQQ159" s="59"/>
      <c r="OQR159" s="60"/>
      <c r="OQS159" s="54"/>
      <c r="OQT159" s="54"/>
      <c r="OQU159" s="36"/>
      <c r="OQV159" s="55"/>
      <c r="OQW159" s="54"/>
      <c r="OQX159" s="56"/>
      <c r="OQY159" s="57"/>
      <c r="OQZ159" s="54"/>
      <c r="ORA159" s="54"/>
      <c r="ORB159" s="54"/>
      <c r="ORC159" s="58"/>
      <c r="ORD159" s="58"/>
      <c r="ORE159" s="58"/>
      <c r="ORF159" s="58"/>
      <c r="ORG159" s="59"/>
      <c r="ORH159" s="60"/>
      <c r="ORI159" s="54"/>
      <c r="ORJ159" s="54"/>
      <c r="ORK159" s="36"/>
      <c r="ORL159" s="55"/>
      <c r="ORM159" s="54"/>
      <c r="ORN159" s="56"/>
      <c r="ORO159" s="57"/>
      <c r="ORP159" s="54"/>
      <c r="ORQ159" s="54"/>
      <c r="ORR159" s="54"/>
      <c r="ORS159" s="58"/>
      <c r="ORT159" s="58"/>
      <c r="ORU159" s="58"/>
      <c r="ORV159" s="58"/>
      <c r="ORW159" s="59"/>
      <c r="ORX159" s="60"/>
      <c r="ORY159" s="54"/>
      <c r="ORZ159" s="54"/>
      <c r="OSA159" s="36"/>
      <c r="OSB159" s="55"/>
      <c r="OSC159" s="54"/>
      <c r="OSD159" s="56"/>
      <c r="OSE159" s="57"/>
      <c r="OSF159" s="54"/>
      <c r="OSG159" s="54"/>
      <c r="OSH159" s="54"/>
      <c r="OSI159" s="58"/>
      <c r="OSJ159" s="58"/>
      <c r="OSK159" s="58"/>
      <c r="OSL159" s="58"/>
      <c r="OSM159" s="59"/>
      <c r="OSN159" s="60"/>
      <c r="OSO159" s="54"/>
      <c r="OSP159" s="54"/>
      <c r="OSQ159" s="36"/>
      <c r="OSR159" s="55"/>
      <c r="OSS159" s="54"/>
      <c r="OST159" s="56"/>
      <c r="OSU159" s="57"/>
      <c r="OSV159" s="54"/>
      <c r="OSW159" s="54"/>
      <c r="OSX159" s="54"/>
      <c r="OSY159" s="58"/>
      <c r="OSZ159" s="58"/>
      <c r="OTA159" s="58"/>
      <c r="OTB159" s="58"/>
      <c r="OTC159" s="59"/>
      <c r="OTD159" s="60"/>
      <c r="OTE159" s="54"/>
      <c r="OTF159" s="54"/>
      <c r="OTG159" s="36"/>
      <c r="OTH159" s="55"/>
      <c r="OTI159" s="54"/>
      <c r="OTJ159" s="56"/>
      <c r="OTK159" s="57"/>
      <c r="OTL159" s="54"/>
      <c r="OTM159" s="54"/>
      <c r="OTN159" s="54"/>
      <c r="OTO159" s="58"/>
      <c r="OTP159" s="58"/>
      <c r="OTQ159" s="58"/>
      <c r="OTR159" s="58"/>
      <c r="OTS159" s="59"/>
      <c r="OTT159" s="60"/>
      <c r="OTU159" s="54"/>
      <c r="OTV159" s="54"/>
      <c r="OTW159" s="36"/>
      <c r="OTX159" s="55"/>
      <c r="OTY159" s="54"/>
      <c r="OTZ159" s="56"/>
      <c r="OUA159" s="57"/>
      <c r="OUB159" s="54"/>
      <c r="OUC159" s="54"/>
      <c r="OUD159" s="54"/>
      <c r="OUE159" s="58"/>
      <c r="OUF159" s="58"/>
      <c r="OUG159" s="58"/>
      <c r="OUH159" s="58"/>
      <c r="OUI159" s="59"/>
      <c r="OUJ159" s="60"/>
      <c r="OUK159" s="54"/>
      <c r="OUL159" s="54"/>
      <c r="OUM159" s="36"/>
      <c r="OUN159" s="55"/>
      <c r="OUO159" s="54"/>
      <c r="OUP159" s="56"/>
      <c r="OUQ159" s="57"/>
      <c r="OUR159" s="54"/>
      <c r="OUS159" s="54"/>
      <c r="OUT159" s="54"/>
      <c r="OUU159" s="58"/>
      <c r="OUV159" s="58"/>
      <c r="OUW159" s="58"/>
      <c r="OUX159" s="58"/>
      <c r="OUY159" s="59"/>
      <c r="OUZ159" s="60"/>
      <c r="OVA159" s="54"/>
      <c r="OVB159" s="54"/>
      <c r="OVC159" s="36"/>
      <c r="OVD159" s="55"/>
      <c r="OVE159" s="54"/>
      <c r="OVF159" s="56"/>
      <c r="OVG159" s="57"/>
      <c r="OVH159" s="54"/>
      <c r="OVI159" s="54"/>
      <c r="OVJ159" s="54"/>
      <c r="OVK159" s="58"/>
      <c r="OVL159" s="58"/>
      <c r="OVM159" s="58"/>
      <c r="OVN159" s="58"/>
      <c r="OVO159" s="59"/>
      <c r="OVP159" s="60"/>
      <c r="OVQ159" s="54"/>
      <c r="OVR159" s="54"/>
      <c r="OVS159" s="36"/>
      <c r="OVT159" s="55"/>
      <c r="OVU159" s="54"/>
      <c r="OVV159" s="56"/>
      <c r="OVW159" s="57"/>
      <c r="OVX159" s="54"/>
      <c r="OVY159" s="54"/>
      <c r="OVZ159" s="54"/>
      <c r="OWA159" s="58"/>
      <c r="OWB159" s="58"/>
      <c r="OWC159" s="58"/>
      <c r="OWD159" s="58"/>
      <c r="OWE159" s="59"/>
      <c r="OWF159" s="60"/>
      <c r="OWG159" s="54"/>
      <c r="OWH159" s="54"/>
      <c r="OWI159" s="36"/>
      <c r="OWJ159" s="55"/>
      <c r="OWK159" s="54"/>
      <c r="OWL159" s="56"/>
      <c r="OWM159" s="57"/>
      <c r="OWN159" s="54"/>
      <c r="OWO159" s="54"/>
      <c r="OWP159" s="54"/>
      <c r="OWQ159" s="58"/>
      <c r="OWR159" s="58"/>
      <c r="OWS159" s="58"/>
      <c r="OWT159" s="58"/>
      <c r="OWU159" s="59"/>
      <c r="OWV159" s="60"/>
      <c r="OWW159" s="54"/>
      <c r="OWX159" s="54"/>
      <c r="OWY159" s="36"/>
      <c r="OWZ159" s="55"/>
      <c r="OXA159" s="54"/>
      <c r="OXB159" s="56"/>
      <c r="OXC159" s="57"/>
      <c r="OXD159" s="54"/>
      <c r="OXE159" s="54"/>
      <c r="OXF159" s="54"/>
      <c r="OXG159" s="58"/>
      <c r="OXH159" s="58"/>
      <c r="OXI159" s="58"/>
      <c r="OXJ159" s="58"/>
      <c r="OXK159" s="59"/>
      <c r="OXL159" s="60"/>
      <c r="OXM159" s="54"/>
      <c r="OXN159" s="54"/>
      <c r="OXO159" s="36"/>
      <c r="OXP159" s="55"/>
      <c r="OXQ159" s="54"/>
      <c r="OXR159" s="56"/>
      <c r="OXS159" s="57"/>
      <c r="OXT159" s="54"/>
      <c r="OXU159" s="54"/>
      <c r="OXV159" s="54"/>
      <c r="OXW159" s="58"/>
      <c r="OXX159" s="58"/>
      <c r="OXY159" s="58"/>
      <c r="OXZ159" s="58"/>
      <c r="OYA159" s="59"/>
      <c r="OYB159" s="60"/>
      <c r="OYC159" s="54"/>
      <c r="OYD159" s="54"/>
      <c r="OYE159" s="36"/>
      <c r="OYF159" s="55"/>
      <c r="OYG159" s="54"/>
      <c r="OYH159" s="56"/>
      <c r="OYI159" s="57"/>
      <c r="OYJ159" s="54"/>
      <c r="OYK159" s="54"/>
      <c r="OYL159" s="54"/>
      <c r="OYM159" s="58"/>
      <c r="OYN159" s="58"/>
      <c r="OYO159" s="58"/>
      <c r="OYP159" s="58"/>
      <c r="OYQ159" s="59"/>
      <c r="OYR159" s="60"/>
      <c r="OYS159" s="54"/>
      <c r="OYT159" s="54"/>
      <c r="OYU159" s="36"/>
      <c r="OYV159" s="55"/>
      <c r="OYW159" s="54"/>
      <c r="OYX159" s="56"/>
      <c r="OYY159" s="57"/>
      <c r="OYZ159" s="54"/>
      <c r="OZA159" s="54"/>
      <c r="OZB159" s="54"/>
      <c r="OZC159" s="58"/>
      <c r="OZD159" s="58"/>
      <c r="OZE159" s="58"/>
      <c r="OZF159" s="58"/>
      <c r="OZG159" s="59"/>
      <c r="OZH159" s="60"/>
      <c r="OZI159" s="54"/>
      <c r="OZJ159" s="54"/>
      <c r="OZK159" s="36"/>
      <c r="OZL159" s="55"/>
      <c r="OZM159" s="54"/>
      <c r="OZN159" s="56"/>
      <c r="OZO159" s="57"/>
      <c r="OZP159" s="54"/>
      <c r="OZQ159" s="54"/>
      <c r="OZR159" s="54"/>
      <c r="OZS159" s="58"/>
      <c r="OZT159" s="58"/>
      <c r="OZU159" s="58"/>
      <c r="OZV159" s="58"/>
      <c r="OZW159" s="59"/>
      <c r="OZX159" s="60"/>
      <c r="OZY159" s="54"/>
      <c r="OZZ159" s="54"/>
      <c r="PAA159" s="36"/>
      <c r="PAB159" s="55"/>
      <c r="PAC159" s="54"/>
      <c r="PAD159" s="56"/>
      <c r="PAE159" s="57"/>
      <c r="PAF159" s="54"/>
      <c r="PAG159" s="54"/>
      <c r="PAH159" s="54"/>
      <c r="PAI159" s="58"/>
      <c r="PAJ159" s="58"/>
      <c r="PAK159" s="58"/>
      <c r="PAL159" s="58"/>
      <c r="PAM159" s="59"/>
      <c r="PAN159" s="60"/>
      <c r="PAO159" s="54"/>
      <c r="PAP159" s="54"/>
      <c r="PAQ159" s="36"/>
      <c r="PAR159" s="55"/>
      <c r="PAS159" s="54"/>
      <c r="PAT159" s="56"/>
      <c r="PAU159" s="57"/>
      <c r="PAV159" s="54"/>
      <c r="PAW159" s="54"/>
      <c r="PAX159" s="54"/>
      <c r="PAY159" s="58"/>
      <c r="PAZ159" s="58"/>
      <c r="PBA159" s="58"/>
      <c r="PBB159" s="58"/>
      <c r="PBC159" s="59"/>
      <c r="PBD159" s="60"/>
      <c r="PBE159" s="54"/>
      <c r="PBF159" s="54"/>
      <c r="PBG159" s="36"/>
      <c r="PBH159" s="55"/>
      <c r="PBI159" s="54"/>
      <c r="PBJ159" s="56"/>
      <c r="PBK159" s="57"/>
      <c r="PBL159" s="54"/>
      <c r="PBM159" s="54"/>
      <c r="PBN159" s="54"/>
      <c r="PBO159" s="58"/>
      <c r="PBP159" s="58"/>
      <c r="PBQ159" s="58"/>
      <c r="PBR159" s="58"/>
      <c r="PBS159" s="59"/>
      <c r="PBT159" s="60"/>
      <c r="PBU159" s="54"/>
      <c r="PBV159" s="54"/>
      <c r="PBW159" s="36"/>
      <c r="PBX159" s="55"/>
      <c r="PBY159" s="54"/>
      <c r="PBZ159" s="56"/>
      <c r="PCA159" s="57"/>
      <c r="PCB159" s="54"/>
      <c r="PCC159" s="54"/>
      <c r="PCD159" s="54"/>
      <c r="PCE159" s="58"/>
      <c r="PCF159" s="58"/>
      <c r="PCG159" s="58"/>
      <c r="PCH159" s="58"/>
      <c r="PCI159" s="59"/>
      <c r="PCJ159" s="60"/>
      <c r="PCK159" s="54"/>
      <c r="PCL159" s="54"/>
      <c r="PCM159" s="36"/>
      <c r="PCN159" s="55"/>
      <c r="PCO159" s="54"/>
      <c r="PCP159" s="56"/>
      <c r="PCQ159" s="57"/>
      <c r="PCR159" s="54"/>
      <c r="PCS159" s="54"/>
      <c r="PCT159" s="54"/>
      <c r="PCU159" s="58"/>
      <c r="PCV159" s="58"/>
      <c r="PCW159" s="58"/>
      <c r="PCX159" s="58"/>
      <c r="PCY159" s="59"/>
      <c r="PCZ159" s="60"/>
      <c r="PDA159" s="54"/>
      <c r="PDB159" s="54"/>
      <c r="PDC159" s="36"/>
      <c r="PDD159" s="55"/>
      <c r="PDE159" s="54"/>
      <c r="PDF159" s="56"/>
      <c r="PDG159" s="57"/>
      <c r="PDH159" s="54"/>
      <c r="PDI159" s="54"/>
      <c r="PDJ159" s="54"/>
      <c r="PDK159" s="58"/>
      <c r="PDL159" s="58"/>
      <c r="PDM159" s="58"/>
      <c r="PDN159" s="58"/>
      <c r="PDO159" s="59"/>
      <c r="PDP159" s="60"/>
      <c r="PDQ159" s="54"/>
      <c r="PDR159" s="54"/>
      <c r="PDS159" s="36"/>
      <c r="PDT159" s="55"/>
      <c r="PDU159" s="54"/>
      <c r="PDV159" s="56"/>
      <c r="PDW159" s="57"/>
      <c r="PDX159" s="54"/>
      <c r="PDY159" s="54"/>
      <c r="PDZ159" s="54"/>
      <c r="PEA159" s="58"/>
      <c r="PEB159" s="58"/>
      <c r="PEC159" s="58"/>
      <c r="PED159" s="58"/>
      <c r="PEE159" s="59"/>
      <c r="PEF159" s="60"/>
      <c r="PEG159" s="54"/>
      <c r="PEH159" s="54"/>
      <c r="PEI159" s="36"/>
      <c r="PEJ159" s="55"/>
      <c r="PEK159" s="54"/>
      <c r="PEL159" s="56"/>
      <c r="PEM159" s="57"/>
      <c r="PEN159" s="54"/>
      <c r="PEO159" s="54"/>
      <c r="PEP159" s="54"/>
      <c r="PEQ159" s="58"/>
      <c r="PER159" s="58"/>
      <c r="PES159" s="58"/>
      <c r="PET159" s="58"/>
      <c r="PEU159" s="59"/>
      <c r="PEV159" s="60"/>
      <c r="PEW159" s="54"/>
      <c r="PEX159" s="54"/>
      <c r="PEY159" s="36"/>
      <c r="PEZ159" s="55"/>
      <c r="PFA159" s="54"/>
      <c r="PFB159" s="56"/>
      <c r="PFC159" s="57"/>
      <c r="PFD159" s="54"/>
      <c r="PFE159" s="54"/>
      <c r="PFF159" s="54"/>
      <c r="PFG159" s="58"/>
      <c r="PFH159" s="58"/>
      <c r="PFI159" s="58"/>
      <c r="PFJ159" s="58"/>
      <c r="PFK159" s="59"/>
      <c r="PFL159" s="60"/>
      <c r="PFM159" s="54"/>
      <c r="PFN159" s="54"/>
      <c r="PFO159" s="36"/>
      <c r="PFP159" s="55"/>
      <c r="PFQ159" s="54"/>
      <c r="PFR159" s="56"/>
      <c r="PFS159" s="57"/>
      <c r="PFT159" s="54"/>
      <c r="PFU159" s="54"/>
      <c r="PFV159" s="54"/>
      <c r="PFW159" s="58"/>
      <c r="PFX159" s="58"/>
      <c r="PFY159" s="58"/>
      <c r="PFZ159" s="58"/>
      <c r="PGA159" s="59"/>
      <c r="PGB159" s="60"/>
      <c r="PGC159" s="54"/>
      <c r="PGD159" s="54"/>
      <c r="PGE159" s="36"/>
      <c r="PGF159" s="55"/>
      <c r="PGG159" s="54"/>
      <c r="PGH159" s="56"/>
      <c r="PGI159" s="57"/>
      <c r="PGJ159" s="54"/>
      <c r="PGK159" s="54"/>
      <c r="PGL159" s="54"/>
      <c r="PGM159" s="58"/>
      <c r="PGN159" s="58"/>
      <c r="PGO159" s="58"/>
      <c r="PGP159" s="58"/>
      <c r="PGQ159" s="59"/>
      <c r="PGR159" s="60"/>
      <c r="PGS159" s="54"/>
      <c r="PGT159" s="54"/>
      <c r="PGU159" s="36"/>
      <c r="PGV159" s="55"/>
      <c r="PGW159" s="54"/>
      <c r="PGX159" s="56"/>
      <c r="PGY159" s="57"/>
      <c r="PGZ159" s="54"/>
      <c r="PHA159" s="54"/>
      <c r="PHB159" s="54"/>
      <c r="PHC159" s="58"/>
      <c r="PHD159" s="58"/>
      <c r="PHE159" s="58"/>
      <c r="PHF159" s="58"/>
      <c r="PHG159" s="59"/>
      <c r="PHH159" s="60"/>
      <c r="PHI159" s="54"/>
      <c r="PHJ159" s="54"/>
      <c r="PHK159" s="36"/>
      <c r="PHL159" s="55"/>
      <c r="PHM159" s="54"/>
      <c r="PHN159" s="56"/>
      <c r="PHO159" s="57"/>
      <c r="PHP159" s="54"/>
      <c r="PHQ159" s="54"/>
      <c r="PHR159" s="54"/>
      <c r="PHS159" s="58"/>
      <c r="PHT159" s="58"/>
      <c r="PHU159" s="58"/>
      <c r="PHV159" s="58"/>
      <c r="PHW159" s="59"/>
      <c r="PHX159" s="60"/>
      <c r="PHY159" s="54"/>
      <c r="PHZ159" s="54"/>
      <c r="PIA159" s="36"/>
      <c r="PIB159" s="55"/>
      <c r="PIC159" s="54"/>
      <c r="PID159" s="56"/>
      <c r="PIE159" s="57"/>
      <c r="PIF159" s="54"/>
      <c r="PIG159" s="54"/>
      <c r="PIH159" s="54"/>
      <c r="PII159" s="58"/>
      <c r="PIJ159" s="58"/>
      <c r="PIK159" s="58"/>
      <c r="PIL159" s="58"/>
      <c r="PIM159" s="59"/>
      <c r="PIN159" s="60"/>
      <c r="PIO159" s="54"/>
      <c r="PIP159" s="54"/>
      <c r="PIQ159" s="36"/>
      <c r="PIR159" s="55"/>
      <c r="PIS159" s="54"/>
      <c r="PIT159" s="56"/>
      <c r="PIU159" s="57"/>
      <c r="PIV159" s="54"/>
      <c r="PIW159" s="54"/>
      <c r="PIX159" s="54"/>
      <c r="PIY159" s="58"/>
      <c r="PIZ159" s="58"/>
      <c r="PJA159" s="58"/>
      <c r="PJB159" s="58"/>
      <c r="PJC159" s="59"/>
      <c r="PJD159" s="60"/>
      <c r="PJE159" s="54"/>
      <c r="PJF159" s="54"/>
      <c r="PJG159" s="36"/>
      <c r="PJH159" s="55"/>
      <c r="PJI159" s="54"/>
      <c r="PJJ159" s="56"/>
      <c r="PJK159" s="57"/>
      <c r="PJL159" s="54"/>
      <c r="PJM159" s="54"/>
      <c r="PJN159" s="54"/>
      <c r="PJO159" s="58"/>
      <c r="PJP159" s="58"/>
      <c r="PJQ159" s="58"/>
      <c r="PJR159" s="58"/>
      <c r="PJS159" s="59"/>
      <c r="PJT159" s="60"/>
      <c r="PJU159" s="54"/>
      <c r="PJV159" s="54"/>
      <c r="PJW159" s="36"/>
      <c r="PJX159" s="55"/>
      <c r="PJY159" s="54"/>
      <c r="PJZ159" s="56"/>
      <c r="PKA159" s="57"/>
      <c r="PKB159" s="54"/>
      <c r="PKC159" s="54"/>
      <c r="PKD159" s="54"/>
      <c r="PKE159" s="58"/>
      <c r="PKF159" s="58"/>
      <c r="PKG159" s="58"/>
      <c r="PKH159" s="58"/>
      <c r="PKI159" s="59"/>
      <c r="PKJ159" s="60"/>
      <c r="PKK159" s="54"/>
      <c r="PKL159" s="54"/>
      <c r="PKM159" s="36"/>
      <c r="PKN159" s="55"/>
      <c r="PKO159" s="54"/>
      <c r="PKP159" s="56"/>
      <c r="PKQ159" s="57"/>
      <c r="PKR159" s="54"/>
      <c r="PKS159" s="54"/>
      <c r="PKT159" s="54"/>
      <c r="PKU159" s="58"/>
      <c r="PKV159" s="58"/>
      <c r="PKW159" s="58"/>
      <c r="PKX159" s="58"/>
      <c r="PKY159" s="59"/>
      <c r="PKZ159" s="60"/>
      <c r="PLA159" s="54"/>
      <c r="PLB159" s="54"/>
      <c r="PLC159" s="36"/>
      <c r="PLD159" s="55"/>
      <c r="PLE159" s="54"/>
      <c r="PLF159" s="56"/>
      <c r="PLG159" s="57"/>
      <c r="PLH159" s="54"/>
      <c r="PLI159" s="54"/>
      <c r="PLJ159" s="54"/>
      <c r="PLK159" s="58"/>
      <c r="PLL159" s="58"/>
      <c r="PLM159" s="58"/>
      <c r="PLN159" s="58"/>
      <c r="PLO159" s="59"/>
      <c r="PLP159" s="60"/>
      <c r="PLQ159" s="54"/>
      <c r="PLR159" s="54"/>
      <c r="PLS159" s="36"/>
      <c r="PLT159" s="55"/>
      <c r="PLU159" s="54"/>
      <c r="PLV159" s="56"/>
      <c r="PLW159" s="57"/>
      <c r="PLX159" s="54"/>
      <c r="PLY159" s="54"/>
      <c r="PLZ159" s="54"/>
      <c r="PMA159" s="58"/>
      <c r="PMB159" s="58"/>
      <c r="PMC159" s="58"/>
      <c r="PMD159" s="58"/>
      <c r="PME159" s="59"/>
      <c r="PMF159" s="60"/>
      <c r="PMG159" s="54"/>
      <c r="PMH159" s="54"/>
      <c r="PMI159" s="36"/>
      <c r="PMJ159" s="55"/>
      <c r="PMK159" s="54"/>
      <c r="PML159" s="56"/>
      <c r="PMM159" s="57"/>
      <c r="PMN159" s="54"/>
      <c r="PMO159" s="54"/>
      <c r="PMP159" s="54"/>
      <c r="PMQ159" s="58"/>
      <c r="PMR159" s="58"/>
      <c r="PMS159" s="58"/>
      <c r="PMT159" s="58"/>
      <c r="PMU159" s="59"/>
      <c r="PMV159" s="60"/>
      <c r="PMW159" s="54"/>
      <c r="PMX159" s="54"/>
      <c r="PMY159" s="36"/>
      <c r="PMZ159" s="55"/>
      <c r="PNA159" s="54"/>
      <c r="PNB159" s="56"/>
      <c r="PNC159" s="57"/>
      <c r="PND159" s="54"/>
      <c r="PNE159" s="54"/>
      <c r="PNF159" s="54"/>
      <c r="PNG159" s="58"/>
      <c r="PNH159" s="58"/>
      <c r="PNI159" s="58"/>
      <c r="PNJ159" s="58"/>
      <c r="PNK159" s="59"/>
      <c r="PNL159" s="60"/>
      <c r="PNM159" s="54"/>
      <c r="PNN159" s="54"/>
      <c r="PNO159" s="36"/>
      <c r="PNP159" s="55"/>
      <c r="PNQ159" s="54"/>
      <c r="PNR159" s="56"/>
      <c r="PNS159" s="57"/>
      <c r="PNT159" s="54"/>
      <c r="PNU159" s="54"/>
      <c r="PNV159" s="54"/>
      <c r="PNW159" s="58"/>
      <c r="PNX159" s="58"/>
      <c r="PNY159" s="58"/>
      <c r="PNZ159" s="58"/>
      <c r="POA159" s="59"/>
      <c r="POB159" s="60"/>
      <c r="POC159" s="54"/>
      <c r="POD159" s="54"/>
      <c r="POE159" s="36"/>
      <c r="POF159" s="55"/>
      <c r="POG159" s="54"/>
      <c r="POH159" s="56"/>
      <c r="POI159" s="57"/>
      <c r="POJ159" s="54"/>
      <c r="POK159" s="54"/>
      <c r="POL159" s="54"/>
      <c r="POM159" s="58"/>
      <c r="PON159" s="58"/>
      <c r="POO159" s="58"/>
      <c r="POP159" s="58"/>
      <c r="POQ159" s="59"/>
      <c r="POR159" s="60"/>
      <c r="POS159" s="54"/>
      <c r="POT159" s="54"/>
      <c r="POU159" s="36"/>
      <c r="POV159" s="55"/>
      <c r="POW159" s="54"/>
      <c r="POX159" s="56"/>
      <c r="POY159" s="57"/>
      <c r="POZ159" s="54"/>
      <c r="PPA159" s="54"/>
      <c r="PPB159" s="54"/>
      <c r="PPC159" s="58"/>
      <c r="PPD159" s="58"/>
      <c r="PPE159" s="58"/>
      <c r="PPF159" s="58"/>
      <c r="PPG159" s="59"/>
      <c r="PPH159" s="60"/>
      <c r="PPI159" s="54"/>
      <c r="PPJ159" s="54"/>
      <c r="PPK159" s="36"/>
      <c r="PPL159" s="55"/>
      <c r="PPM159" s="54"/>
      <c r="PPN159" s="56"/>
      <c r="PPO159" s="57"/>
      <c r="PPP159" s="54"/>
      <c r="PPQ159" s="54"/>
      <c r="PPR159" s="54"/>
      <c r="PPS159" s="58"/>
      <c r="PPT159" s="58"/>
      <c r="PPU159" s="58"/>
      <c r="PPV159" s="58"/>
      <c r="PPW159" s="59"/>
      <c r="PPX159" s="60"/>
      <c r="PPY159" s="54"/>
      <c r="PPZ159" s="54"/>
      <c r="PQA159" s="36"/>
      <c r="PQB159" s="55"/>
      <c r="PQC159" s="54"/>
      <c r="PQD159" s="56"/>
      <c r="PQE159" s="57"/>
      <c r="PQF159" s="54"/>
      <c r="PQG159" s="54"/>
      <c r="PQH159" s="54"/>
      <c r="PQI159" s="58"/>
      <c r="PQJ159" s="58"/>
      <c r="PQK159" s="58"/>
      <c r="PQL159" s="58"/>
      <c r="PQM159" s="59"/>
      <c r="PQN159" s="60"/>
      <c r="PQO159" s="54"/>
      <c r="PQP159" s="54"/>
      <c r="PQQ159" s="36"/>
      <c r="PQR159" s="55"/>
      <c r="PQS159" s="54"/>
      <c r="PQT159" s="56"/>
      <c r="PQU159" s="57"/>
      <c r="PQV159" s="54"/>
      <c r="PQW159" s="54"/>
      <c r="PQX159" s="54"/>
      <c r="PQY159" s="58"/>
      <c r="PQZ159" s="58"/>
      <c r="PRA159" s="58"/>
      <c r="PRB159" s="58"/>
      <c r="PRC159" s="59"/>
      <c r="PRD159" s="60"/>
      <c r="PRE159" s="54"/>
      <c r="PRF159" s="54"/>
      <c r="PRG159" s="36"/>
      <c r="PRH159" s="55"/>
      <c r="PRI159" s="54"/>
      <c r="PRJ159" s="56"/>
      <c r="PRK159" s="57"/>
      <c r="PRL159" s="54"/>
      <c r="PRM159" s="54"/>
      <c r="PRN159" s="54"/>
      <c r="PRO159" s="58"/>
      <c r="PRP159" s="58"/>
      <c r="PRQ159" s="58"/>
      <c r="PRR159" s="58"/>
      <c r="PRS159" s="59"/>
      <c r="PRT159" s="60"/>
      <c r="PRU159" s="54"/>
      <c r="PRV159" s="54"/>
      <c r="PRW159" s="36"/>
      <c r="PRX159" s="55"/>
      <c r="PRY159" s="54"/>
      <c r="PRZ159" s="56"/>
      <c r="PSA159" s="57"/>
      <c r="PSB159" s="54"/>
      <c r="PSC159" s="54"/>
      <c r="PSD159" s="54"/>
      <c r="PSE159" s="58"/>
      <c r="PSF159" s="58"/>
      <c r="PSG159" s="58"/>
      <c r="PSH159" s="58"/>
      <c r="PSI159" s="59"/>
      <c r="PSJ159" s="60"/>
      <c r="PSK159" s="54"/>
      <c r="PSL159" s="54"/>
      <c r="PSM159" s="36"/>
      <c r="PSN159" s="55"/>
      <c r="PSO159" s="54"/>
      <c r="PSP159" s="56"/>
      <c r="PSQ159" s="57"/>
      <c r="PSR159" s="54"/>
      <c r="PSS159" s="54"/>
      <c r="PST159" s="54"/>
      <c r="PSU159" s="58"/>
      <c r="PSV159" s="58"/>
      <c r="PSW159" s="58"/>
      <c r="PSX159" s="58"/>
      <c r="PSY159" s="59"/>
      <c r="PSZ159" s="60"/>
      <c r="PTA159" s="54"/>
      <c r="PTB159" s="54"/>
      <c r="PTC159" s="36"/>
      <c r="PTD159" s="55"/>
      <c r="PTE159" s="54"/>
      <c r="PTF159" s="56"/>
      <c r="PTG159" s="57"/>
      <c r="PTH159" s="54"/>
      <c r="PTI159" s="54"/>
      <c r="PTJ159" s="54"/>
      <c r="PTK159" s="58"/>
      <c r="PTL159" s="58"/>
      <c r="PTM159" s="58"/>
      <c r="PTN159" s="58"/>
      <c r="PTO159" s="59"/>
      <c r="PTP159" s="60"/>
      <c r="PTQ159" s="54"/>
      <c r="PTR159" s="54"/>
      <c r="PTS159" s="36"/>
      <c r="PTT159" s="55"/>
      <c r="PTU159" s="54"/>
      <c r="PTV159" s="56"/>
      <c r="PTW159" s="57"/>
      <c r="PTX159" s="54"/>
      <c r="PTY159" s="54"/>
      <c r="PTZ159" s="54"/>
      <c r="PUA159" s="58"/>
      <c r="PUB159" s="58"/>
      <c r="PUC159" s="58"/>
      <c r="PUD159" s="58"/>
      <c r="PUE159" s="59"/>
      <c r="PUF159" s="60"/>
      <c r="PUG159" s="54"/>
      <c r="PUH159" s="54"/>
      <c r="PUI159" s="36"/>
      <c r="PUJ159" s="55"/>
      <c r="PUK159" s="54"/>
      <c r="PUL159" s="56"/>
      <c r="PUM159" s="57"/>
      <c r="PUN159" s="54"/>
      <c r="PUO159" s="54"/>
      <c r="PUP159" s="54"/>
      <c r="PUQ159" s="58"/>
      <c r="PUR159" s="58"/>
      <c r="PUS159" s="58"/>
      <c r="PUT159" s="58"/>
      <c r="PUU159" s="59"/>
      <c r="PUV159" s="60"/>
      <c r="PUW159" s="54"/>
      <c r="PUX159" s="54"/>
      <c r="PUY159" s="36"/>
      <c r="PUZ159" s="55"/>
      <c r="PVA159" s="54"/>
      <c r="PVB159" s="56"/>
      <c r="PVC159" s="57"/>
      <c r="PVD159" s="54"/>
      <c r="PVE159" s="54"/>
      <c r="PVF159" s="54"/>
      <c r="PVG159" s="58"/>
      <c r="PVH159" s="58"/>
      <c r="PVI159" s="58"/>
      <c r="PVJ159" s="58"/>
      <c r="PVK159" s="59"/>
      <c r="PVL159" s="60"/>
      <c r="PVM159" s="54"/>
      <c r="PVN159" s="54"/>
      <c r="PVO159" s="36"/>
      <c r="PVP159" s="55"/>
      <c r="PVQ159" s="54"/>
      <c r="PVR159" s="56"/>
      <c r="PVS159" s="57"/>
      <c r="PVT159" s="54"/>
      <c r="PVU159" s="54"/>
      <c r="PVV159" s="54"/>
      <c r="PVW159" s="58"/>
      <c r="PVX159" s="58"/>
      <c r="PVY159" s="58"/>
      <c r="PVZ159" s="58"/>
      <c r="PWA159" s="59"/>
      <c r="PWB159" s="60"/>
      <c r="PWC159" s="54"/>
      <c r="PWD159" s="54"/>
      <c r="PWE159" s="36"/>
      <c r="PWF159" s="55"/>
      <c r="PWG159" s="54"/>
      <c r="PWH159" s="56"/>
      <c r="PWI159" s="57"/>
      <c r="PWJ159" s="54"/>
      <c r="PWK159" s="54"/>
      <c r="PWL159" s="54"/>
      <c r="PWM159" s="58"/>
      <c r="PWN159" s="58"/>
      <c r="PWO159" s="58"/>
      <c r="PWP159" s="58"/>
      <c r="PWQ159" s="59"/>
      <c r="PWR159" s="60"/>
      <c r="PWS159" s="54"/>
      <c r="PWT159" s="54"/>
      <c r="PWU159" s="36"/>
      <c r="PWV159" s="55"/>
      <c r="PWW159" s="54"/>
      <c r="PWX159" s="56"/>
      <c r="PWY159" s="57"/>
      <c r="PWZ159" s="54"/>
      <c r="PXA159" s="54"/>
      <c r="PXB159" s="54"/>
      <c r="PXC159" s="58"/>
      <c r="PXD159" s="58"/>
      <c r="PXE159" s="58"/>
      <c r="PXF159" s="58"/>
      <c r="PXG159" s="59"/>
      <c r="PXH159" s="60"/>
      <c r="PXI159" s="54"/>
      <c r="PXJ159" s="54"/>
      <c r="PXK159" s="36"/>
      <c r="PXL159" s="55"/>
      <c r="PXM159" s="54"/>
      <c r="PXN159" s="56"/>
      <c r="PXO159" s="57"/>
      <c r="PXP159" s="54"/>
      <c r="PXQ159" s="54"/>
      <c r="PXR159" s="54"/>
      <c r="PXS159" s="58"/>
      <c r="PXT159" s="58"/>
      <c r="PXU159" s="58"/>
      <c r="PXV159" s="58"/>
      <c r="PXW159" s="59"/>
      <c r="PXX159" s="60"/>
      <c r="PXY159" s="54"/>
      <c r="PXZ159" s="54"/>
      <c r="PYA159" s="36"/>
      <c r="PYB159" s="55"/>
      <c r="PYC159" s="54"/>
      <c r="PYD159" s="56"/>
      <c r="PYE159" s="57"/>
      <c r="PYF159" s="54"/>
      <c r="PYG159" s="54"/>
      <c r="PYH159" s="54"/>
      <c r="PYI159" s="58"/>
      <c r="PYJ159" s="58"/>
      <c r="PYK159" s="58"/>
      <c r="PYL159" s="58"/>
      <c r="PYM159" s="59"/>
      <c r="PYN159" s="60"/>
      <c r="PYO159" s="54"/>
      <c r="PYP159" s="54"/>
      <c r="PYQ159" s="36"/>
      <c r="PYR159" s="55"/>
      <c r="PYS159" s="54"/>
      <c r="PYT159" s="56"/>
      <c r="PYU159" s="57"/>
      <c r="PYV159" s="54"/>
      <c r="PYW159" s="54"/>
      <c r="PYX159" s="54"/>
      <c r="PYY159" s="58"/>
      <c r="PYZ159" s="58"/>
      <c r="PZA159" s="58"/>
      <c r="PZB159" s="58"/>
      <c r="PZC159" s="59"/>
      <c r="PZD159" s="60"/>
      <c r="PZE159" s="54"/>
      <c r="PZF159" s="54"/>
      <c r="PZG159" s="36"/>
      <c r="PZH159" s="55"/>
      <c r="PZI159" s="54"/>
      <c r="PZJ159" s="56"/>
      <c r="PZK159" s="57"/>
      <c r="PZL159" s="54"/>
      <c r="PZM159" s="54"/>
      <c r="PZN159" s="54"/>
      <c r="PZO159" s="58"/>
      <c r="PZP159" s="58"/>
      <c r="PZQ159" s="58"/>
      <c r="PZR159" s="58"/>
      <c r="PZS159" s="59"/>
      <c r="PZT159" s="60"/>
      <c r="PZU159" s="54"/>
      <c r="PZV159" s="54"/>
      <c r="PZW159" s="36"/>
      <c r="PZX159" s="55"/>
      <c r="PZY159" s="54"/>
      <c r="PZZ159" s="56"/>
      <c r="QAA159" s="57"/>
      <c r="QAB159" s="54"/>
      <c r="QAC159" s="54"/>
      <c r="QAD159" s="54"/>
      <c r="QAE159" s="58"/>
      <c r="QAF159" s="58"/>
      <c r="QAG159" s="58"/>
      <c r="QAH159" s="58"/>
      <c r="QAI159" s="59"/>
      <c r="QAJ159" s="60"/>
      <c r="QAK159" s="54"/>
      <c r="QAL159" s="54"/>
      <c r="QAM159" s="36"/>
      <c r="QAN159" s="55"/>
      <c r="QAO159" s="54"/>
      <c r="QAP159" s="56"/>
      <c r="QAQ159" s="57"/>
      <c r="QAR159" s="54"/>
      <c r="QAS159" s="54"/>
      <c r="QAT159" s="54"/>
      <c r="QAU159" s="58"/>
      <c r="QAV159" s="58"/>
      <c r="QAW159" s="58"/>
      <c r="QAX159" s="58"/>
      <c r="QAY159" s="59"/>
      <c r="QAZ159" s="60"/>
      <c r="QBA159" s="54"/>
      <c r="QBB159" s="54"/>
      <c r="QBC159" s="36"/>
      <c r="QBD159" s="55"/>
      <c r="QBE159" s="54"/>
      <c r="QBF159" s="56"/>
      <c r="QBG159" s="57"/>
      <c r="QBH159" s="54"/>
      <c r="QBI159" s="54"/>
      <c r="QBJ159" s="54"/>
      <c r="QBK159" s="58"/>
      <c r="QBL159" s="58"/>
      <c r="QBM159" s="58"/>
      <c r="QBN159" s="58"/>
      <c r="QBO159" s="59"/>
      <c r="QBP159" s="60"/>
      <c r="QBQ159" s="54"/>
      <c r="QBR159" s="54"/>
      <c r="QBS159" s="36"/>
      <c r="QBT159" s="55"/>
      <c r="QBU159" s="54"/>
      <c r="QBV159" s="56"/>
      <c r="QBW159" s="57"/>
      <c r="QBX159" s="54"/>
      <c r="QBY159" s="54"/>
      <c r="QBZ159" s="54"/>
      <c r="QCA159" s="58"/>
      <c r="QCB159" s="58"/>
      <c r="QCC159" s="58"/>
      <c r="QCD159" s="58"/>
      <c r="QCE159" s="59"/>
      <c r="QCF159" s="60"/>
      <c r="QCG159" s="54"/>
      <c r="QCH159" s="54"/>
      <c r="QCI159" s="36"/>
      <c r="QCJ159" s="55"/>
      <c r="QCK159" s="54"/>
      <c r="QCL159" s="56"/>
      <c r="QCM159" s="57"/>
      <c r="QCN159" s="54"/>
      <c r="QCO159" s="54"/>
      <c r="QCP159" s="54"/>
      <c r="QCQ159" s="58"/>
      <c r="QCR159" s="58"/>
      <c r="QCS159" s="58"/>
      <c r="QCT159" s="58"/>
      <c r="QCU159" s="59"/>
      <c r="QCV159" s="60"/>
      <c r="QCW159" s="54"/>
      <c r="QCX159" s="54"/>
      <c r="QCY159" s="36"/>
      <c r="QCZ159" s="55"/>
      <c r="QDA159" s="54"/>
      <c r="QDB159" s="56"/>
      <c r="QDC159" s="57"/>
      <c r="QDD159" s="54"/>
      <c r="QDE159" s="54"/>
      <c r="QDF159" s="54"/>
      <c r="QDG159" s="58"/>
      <c r="QDH159" s="58"/>
      <c r="QDI159" s="58"/>
      <c r="QDJ159" s="58"/>
      <c r="QDK159" s="59"/>
      <c r="QDL159" s="60"/>
      <c r="QDM159" s="54"/>
      <c r="QDN159" s="54"/>
      <c r="QDO159" s="36"/>
      <c r="QDP159" s="55"/>
      <c r="QDQ159" s="54"/>
      <c r="QDR159" s="56"/>
      <c r="QDS159" s="57"/>
      <c r="QDT159" s="54"/>
      <c r="QDU159" s="54"/>
      <c r="QDV159" s="54"/>
      <c r="QDW159" s="58"/>
      <c r="QDX159" s="58"/>
      <c r="QDY159" s="58"/>
      <c r="QDZ159" s="58"/>
      <c r="QEA159" s="59"/>
      <c r="QEB159" s="60"/>
      <c r="QEC159" s="54"/>
      <c r="QED159" s="54"/>
      <c r="QEE159" s="36"/>
      <c r="QEF159" s="55"/>
      <c r="QEG159" s="54"/>
      <c r="QEH159" s="56"/>
      <c r="QEI159" s="57"/>
      <c r="QEJ159" s="54"/>
      <c r="QEK159" s="54"/>
      <c r="QEL159" s="54"/>
      <c r="QEM159" s="58"/>
      <c r="QEN159" s="58"/>
      <c r="QEO159" s="58"/>
      <c r="QEP159" s="58"/>
      <c r="QEQ159" s="59"/>
      <c r="QER159" s="60"/>
      <c r="QES159" s="54"/>
      <c r="QET159" s="54"/>
      <c r="QEU159" s="36"/>
      <c r="QEV159" s="55"/>
      <c r="QEW159" s="54"/>
      <c r="QEX159" s="56"/>
      <c r="QEY159" s="57"/>
      <c r="QEZ159" s="54"/>
      <c r="QFA159" s="54"/>
      <c r="QFB159" s="54"/>
      <c r="QFC159" s="58"/>
      <c r="QFD159" s="58"/>
      <c r="QFE159" s="58"/>
      <c r="QFF159" s="58"/>
      <c r="QFG159" s="59"/>
      <c r="QFH159" s="60"/>
      <c r="QFI159" s="54"/>
      <c r="QFJ159" s="54"/>
      <c r="QFK159" s="36"/>
      <c r="QFL159" s="55"/>
      <c r="QFM159" s="54"/>
      <c r="QFN159" s="56"/>
      <c r="QFO159" s="57"/>
      <c r="QFP159" s="54"/>
      <c r="QFQ159" s="54"/>
      <c r="QFR159" s="54"/>
      <c r="QFS159" s="58"/>
      <c r="QFT159" s="58"/>
      <c r="QFU159" s="58"/>
      <c r="QFV159" s="58"/>
      <c r="QFW159" s="59"/>
      <c r="QFX159" s="60"/>
      <c r="QFY159" s="54"/>
      <c r="QFZ159" s="54"/>
      <c r="QGA159" s="36"/>
      <c r="QGB159" s="55"/>
      <c r="QGC159" s="54"/>
      <c r="QGD159" s="56"/>
      <c r="QGE159" s="57"/>
      <c r="QGF159" s="54"/>
      <c r="QGG159" s="54"/>
      <c r="QGH159" s="54"/>
      <c r="QGI159" s="58"/>
      <c r="QGJ159" s="58"/>
      <c r="QGK159" s="58"/>
      <c r="QGL159" s="58"/>
      <c r="QGM159" s="59"/>
      <c r="QGN159" s="60"/>
      <c r="QGO159" s="54"/>
      <c r="QGP159" s="54"/>
      <c r="QGQ159" s="36"/>
      <c r="QGR159" s="55"/>
      <c r="QGS159" s="54"/>
      <c r="QGT159" s="56"/>
      <c r="QGU159" s="57"/>
      <c r="QGV159" s="54"/>
      <c r="QGW159" s="54"/>
      <c r="QGX159" s="54"/>
      <c r="QGY159" s="58"/>
      <c r="QGZ159" s="58"/>
      <c r="QHA159" s="58"/>
      <c r="QHB159" s="58"/>
      <c r="QHC159" s="59"/>
      <c r="QHD159" s="60"/>
      <c r="QHE159" s="54"/>
      <c r="QHF159" s="54"/>
      <c r="QHG159" s="36"/>
      <c r="QHH159" s="55"/>
      <c r="QHI159" s="54"/>
      <c r="QHJ159" s="56"/>
      <c r="QHK159" s="57"/>
      <c r="QHL159" s="54"/>
      <c r="QHM159" s="54"/>
      <c r="QHN159" s="54"/>
      <c r="QHO159" s="58"/>
      <c r="QHP159" s="58"/>
      <c r="QHQ159" s="58"/>
      <c r="QHR159" s="58"/>
      <c r="QHS159" s="59"/>
      <c r="QHT159" s="60"/>
      <c r="QHU159" s="54"/>
      <c r="QHV159" s="54"/>
      <c r="QHW159" s="36"/>
      <c r="QHX159" s="55"/>
      <c r="QHY159" s="54"/>
      <c r="QHZ159" s="56"/>
      <c r="QIA159" s="57"/>
      <c r="QIB159" s="54"/>
      <c r="QIC159" s="54"/>
      <c r="QID159" s="54"/>
      <c r="QIE159" s="58"/>
      <c r="QIF159" s="58"/>
      <c r="QIG159" s="58"/>
      <c r="QIH159" s="58"/>
      <c r="QII159" s="59"/>
      <c r="QIJ159" s="60"/>
      <c r="QIK159" s="54"/>
      <c r="QIL159" s="54"/>
      <c r="QIM159" s="36"/>
      <c r="QIN159" s="55"/>
      <c r="QIO159" s="54"/>
      <c r="QIP159" s="56"/>
      <c r="QIQ159" s="57"/>
      <c r="QIR159" s="54"/>
      <c r="QIS159" s="54"/>
      <c r="QIT159" s="54"/>
      <c r="QIU159" s="58"/>
      <c r="QIV159" s="58"/>
      <c r="QIW159" s="58"/>
      <c r="QIX159" s="58"/>
      <c r="QIY159" s="59"/>
      <c r="QIZ159" s="60"/>
      <c r="QJA159" s="54"/>
      <c r="QJB159" s="54"/>
      <c r="QJC159" s="36"/>
      <c r="QJD159" s="55"/>
      <c r="QJE159" s="54"/>
      <c r="QJF159" s="56"/>
      <c r="QJG159" s="57"/>
      <c r="QJH159" s="54"/>
      <c r="QJI159" s="54"/>
      <c r="QJJ159" s="54"/>
      <c r="QJK159" s="58"/>
      <c r="QJL159" s="58"/>
      <c r="QJM159" s="58"/>
      <c r="QJN159" s="58"/>
      <c r="QJO159" s="59"/>
      <c r="QJP159" s="60"/>
      <c r="QJQ159" s="54"/>
      <c r="QJR159" s="54"/>
      <c r="QJS159" s="36"/>
      <c r="QJT159" s="55"/>
      <c r="QJU159" s="54"/>
      <c r="QJV159" s="56"/>
      <c r="QJW159" s="57"/>
      <c r="QJX159" s="54"/>
      <c r="QJY159" s="54"/>
      <c r="QJZ159" s="54"/>
      <c r="QKA159" s="58"/>
      <c r="QKB159" s="58"/>
      <c r="QKC159" s="58"/>
      <c r="QKD159" s="58"/>
      <c r="QKE159" s="59"/>
      <c r="QKF159" s="60"/>
      <c r="QKG159" s="54"/>
      <c r="QKH159" s="54"/>
      <c r="QKI159" s="36"/>
      <c r="QKJ159" s="55"/>
      <c r="QKK159" s="54"/>
      <c r="QKL159" s="56"/>
      <c r="QKM159" s="57"/>
      <c r="QKN159" s="54"/>
      <c r="QKO159" s="54"/>
      <c r="QKP159" s="54"/>
      <c r="QKQ159" s="58"/>
      <c r="QKR159" s="58"/>
      <c r="QKS159" s="58"/>
      <c r="QKT159" s="58"/>
      <c r="QKU159" s="59"/>
      <c r="QKV159" s="60"/>
      <c r="QKW159" s="54"/>
      <c r="QKX159" s="54"/>
      <c r="QKY159" s="36"/>
      <c r="QKZ159" s="55"/>
      <c r="QLA159" s="54"/>
      <c r="QLB159" s="56"/>
      <c r="QLC159" s="57"/>
      <c r="QLD159" s="54"/>
      <c r="QLE159" s="54"/>
      <c r="QLF159" s="54"/>
      <c r="QLG159" s="58"/>
      <c r="QLH159" s="58"/>
      <c r="QLI159" s="58"/>
      <c r="QLJ159" s="58"/>
      <c r="QLK159" s="59"/>
      <c r="QLL159" s="60"/>
      <c r="QLM159" s="54"/>
      <c r="QLN159" s="54"/>
      <c r="QLO159" s="36"/>
      <c r="QLP159" s="55"/>
      <c r="QLQ159" s="54"/>
      <c r="QLR159" s="56"/>
      <c r="QLS159" s="57"/>
      <c r="QLT159" s="54"/>
      <c r="QLU159" s="54"/>
      <c r="QLV159" s="54"/>
      <c r="QLW159" s="58"/>
      <c r="QLX159" s="58"/>
      <c r="QLY159" s="58"/>
      <c r="QLZ159" s="58"/>
      <c r="QMA159" s="59"/>
      <c r="QMB159" s="60"/>
      <c r="QMC159" s="54"/>
      <c r="QMD159" s="54"/>
      <c r="QME159" s="36"/>
      <c r="QMF159" s="55"/>
      <c r="QMG159" s="54"/>
      <c r="QMH159" s="56"/>
      <c r="QMI159" s="57"/>
      <c r="QMJ159" s="54"/>
      <c r="QMK159" s="54"/>
      <c r="QML159" s="54"/>
      <c r="QMM159" s="58"/>
      <c r="QMN159" s="58"/>
      <c r="QMO159" s="58"/>
      <c r="QMP159" s="58"/>
      <c r="QMQ159" s="59"/>
      <c r="QMR159" s="60"/>
      <c r="QMS159" s="54"/>
      <c r="QMT159" s="54"/>
      <c r="QMU159" s="36"/>
      <c r="QMV159" s="55"/>
      <c r="QMW159" s="54"/>
      <c r="QMX159" s="56"/>
      <c r="QMY159" s="57"/>
      <c r="QMZ159" s="54"/>
      <c r="QNA159" s="54"/>
      <c r="QNB159" s="54"/>
      <c r="QNC159" s="58"/>
      <c r="QND159" s="58"/>
      <c r="QNE159" s="58"/>
      <c r="QNF159" s="58"/>
      <c r="QNG159" s="59"/>
      <c r="QNH159" s="60"/>
      <c r="QNI159" s="54"/>
      <c r="QNJ159" s="54"/>
      <c r="QNK159" s="36"/>
      <c r="QNL159" s="55"/>
      <c r="QNM159" s="54"/>
      <c r="QNN159" s="56"/>
      <c r="QNO159" s="57"/>
      <c r="QNP159" s="54"/>
      <c r="QNQ159" s="54"/>
      <c r="QNR159" s="54"/>
      <c r="QNS159" s="58"/>
      <c r="QNT159" s="58"/>
      <c r="QNU159" s="58"/>
      <c r="QNV159" s="58"/>
      <c r="QNW159" s="59"/>
      <c r="QNX159" s="60"/>
      <c r="QNY159" s="54"/>
      <c r="QNZ159" s="54"/>
      <c r="QOA159" s="36"/>
      <c r="QOB159" s="55"/>
      <c r="QOC159" s="54"/>
      <c r="QOD159" s="56"/>
      <c r="QOE159" s="57"/>
      <c r="QOF159" s="54"/>
      <c r="QOG159" s="54"/>
      <c r="QOH159" s="54"/>
      <c r="QOI159" s="58"/>
      <c r="QOJ159" s="58"/>
      <c r="QOK159" s="58"/>
      <c r="QOL159" s="58"/>
      <c r="QOM159" s="59"/>
      <c r="QON159" s="60"/>
      <c r="QOO159" s="54"/>
      <c r="QOP159" s="54"/>
      <c r="QOQ159" s="36"/>
      <c r="QOR159" s="55"/>
      <c r="QOS159" s="54"/>
      <c r="QOT159" s="56"/>
      <c r="QOU159" s="57"/>
      <c r="QOV159" s="54"/>
      <c r="QOW159" s="54"/>
      <c r="QOX159" s="54"/>
      <c r="QOY159" s="58"/>
      <c r="QOZ159" s="58"/>
      <c r="QPA159" s="58"/>
      <c r="QPB159" s="58"/>
      <c r="QPC159" s="59"/>
      <c r="QPD159" s="60"/>
      <c r="QPE159" s="54"/>
      <c r="QPF159" s="54"/>
      <c r="QPG159" s="36"/>
      <c r="QPH159" s="55"/>
      <c r="QPI159" s="54"/>
      <c r="QPJ159" s="56"/>
      <c r="QPK159" s="57"/>
      <c r="QPL159" s="54"/>
      <c r="QPM159" s="54"/>
      <c r="QPN159" s="54"/>
      <c r="QPO159" s="58"/>
      <c r="QPP159" s="58"/>
      <c r="QPQ159" s="58"/>
      <c r="QPR159" s="58"/>
      <c r="QPS159" s="59"/>
      <c r="QPT159" s="60"/>
      <c r="QPU159" s="54"/>
      <c r="QPV159" s="54"/>
      <c r="QPW159" s="36"/>
      <c r="QPX159" s="55"/>
      <c r="QPY159" s="54"/>
      <c r="QPZ159" s="56"/>
      <c r="QQA159" s="57"/>
      <c r="QQB159" s="54"/>
      <c r="QQC159" s="54"/>
      <c r="QQD159" s="54"/>
      <c r="QQE159" s="58"/>
      <c r="QQF159" s="58"/>
      <c r="QQG159" s="58"/>
      <c r="QQH159" s="58"/>
      <c r="QQI159" s="59"/>
      <c r="QQJ159" s="60"/>
      <c r="QQK159" s="54"/>
      <c r="QQL159" s="54"/>
      <c r="QQM159" s="36"/>
      <c r="QQN159" s="55"/>
      <c r="QQO159" s="54"/>
      <c r="QQP159" s="56"/>
      <c r="QQQ159" s="57"/>
      <c r="QQR159" s="54"/>
      <c r="QQS159" s="54"/>
      <c r="QQT159" s="54"/>
      <c r="QQU159" s="58"/>
      <c r="QQV159" s="58"/>
      <c r="QQW159" s="58"/>
      <c r="QQX159" s="58"/>
      <c r="QQY159" s="59"/>
      <c r="QQZ159" s="60"/>
      <c r="QRA159" s="54"/>
      <c r="QRB159" s="54"/>
      <c r="QRC159" s="36"/>
      <c r="QRD159" s="55"/>
      <c r="QRE159" s="54"/>
      <c r="QRF159" s="56"/>
      <c r="QRG159" s="57"/>
      <c r="QRH159" s="54"/>
      <c r="QRI159" s="54"/>
      <c r="QRJ159" s="54"/>
      <c r="QRK159" s="58"/>
      <c r="QRL159" s="58"/>
      <c r="QRM159" s="58"/>
      <c r="QRN159" s="58"/>
      <c r="QRO159" s="59"/>
      <c r="QRP159" s="60"/>
      <c r="QRQ159" s="54"/>
      <c r="QRR159" s="54"/>
      <c r="QRS159" s="36"/>
      <c r="QRT159" s="55"/>
      <c r="QRU159" s="54"/>
      <c r="QRV159" s="56"/>
      <c r="QRW159" s="57"/>
      <c r="QRX159" s="54"/>
      <c r="QRY159" s="54"/>
      <c r="QRZ159" s="54"/>
      <c r="QSA159" s="58"/>
      <c r="QSB159" s="58"/>
      <c r="QSC159" s="58"/>
      <c r="QSD159" s="58"/>
      <c r="QSE159" s="59"/>
      <c r="QSF159" s="60"/>
      <c r="QSG159" s="54"/>
      <c r="QSH159" s="54"/>
      <c r="QSI159" s="36"/>
      <c r="QSJ159" s="55"/>
      <c r="QSK159" s="54"/>
      <c r="QSL159" s="56"/>
      <c r="QSM159" s="57"/>
      <c r="QSN159" s="54"/>
      <c r="QSO159" s="54"/>
      <c r="QSP159" s="54"/>
      <c r="QSQ159" s="58"/>
      <c r="QSR159" s="58"/>
      <c r="QSS159" s="58"/>
      <c r="QST159" s="58"/>
      <c r="QSU159" s="59"/>
      <c r="QSV159" s="60"/>
      <c r="QSW159" s="54"/>
      <c r="QSX159" s="54"/>
      <c r="QSY159" s="36"/>
      <c r="QSZ159" s="55"/>
      <c r="QTA159" s="54"/>
      <c r="QTB159" s="56"/>
      <c r="QTC159" s="57"/>
      <c r="QTD159" s="54"/>
      <c r="QTE159" s="54"/>
      <c r="QTF159" s="54"/>
      <c r="QTG159" s="58"/>
      <c r="QTH159" s="58"/>
      <c r="QTI159" s="58"/>
      <c r="QTJ159" s="58"/>
      <c r="QTK159" s="59"/>
      <c r="QTL159" s="60"/>
      <c r="QTM159" s="54"/>
      <c r="QTN159" s="54"/>
      <c r="QTO159" s="36"/>
      <c r="QTP159" s="55"/>
      <c r="QTQ159" s="54"/>
      <c r="QTR159" s="56"/>
      <c r="QTS159" s="57"/>
      <c r="QTT159" s="54"/>
      <c r="QTU159" s="54"/>
      <c r="QTV159" s="54"/>
      <c r="QTW159" s="58"/>
      <c r="QTX159" s="58"/>
      <c r="QTY159" s="58"/>
      <c r="QTZ159" s="58"/>
      <c r="QUA159" s="59"/>
      <c r="QUB159" s="60"/>
      <c r="QUC159" s="54"/>
      <c r="QUD159" s="54"/>
      <c r="QUE159" s="36"/>
      <c r="QUF159" s="55"/>
      <c r="QUG159" s="54"/>
      <c r="QUH159" s="56"/>
      <c r="QUI159" s="57"/>
      <c r="QUJ159" s="54"/>
      <c r="QUK159" s="54"/>
      <c r="QUL159" s="54"/>
      <c r="QUM159" s="58"/>
      <c r="QUN159" s="58"/>
      <c r="QUO159" s="58"/>
      <c r="QUP159" s="58"/>
      <c r="QUQ159" s="59"/>
      <c r="QUR159" s="60"/>
      <c r="QUS159" s="54"/>
      <c r="QUT159" s="54"/>
      <c r="QUU159" s="36"/>
      <c r="QUV159" s="55"/>
      <c r="QUW159" s="54"/>
      <c r="QUX159" s="56"/>
      <c r="QUY159" s="57"/>
      <c r="QUZ159" s="54"/>
      <c r="QVA159" s="54"/>
      <c r="QVB159" s="54"/>
      <c r="QVC159" s="58"/>
      <c r="QVD159" s="58"/>
      <c r="QVE159" s="58"/>
      <c r="QVF159" s="58"/>
      <c r="QVG159" s="59"/>
      <c r="QVH159" s="60"/>
      <c r="QVI159" s="54"/>
      <c r="QVJ159" s="54"/>
      <c r="QVK159" s="36"/>
      <c r="QVL159" s="55"/>
      <c r="QVM159" s="54"/>
      <c r="QVN159" s="56"/>
      <c r="QVO159" s="57"/>
      <c r="QVP159" s="54"/>
      <c r="QVQ159" s="54"/>
      <c r="QVR159" s="54"/>
      <c r="QVS159" s="58"/>
      <c r="QVT159" s="58"/>
      <c r="QVU159" s="58"/>
      <c r="QVV159" s="58"/>
      <c r="QVW159" s="59"/>
      <c r="QVX159" s="60"/>
      <c r="QVY159" s="54"/>
      <c r="QVZ159" s="54"/>
      <c r="QWA159" s="36"/>
      <c r="QWB159" s="55"/>
      <c r="QWC159" s="54"/>
      <c r="QWD159" s="56"/>
      <c r="QWE159" s="57"/>
      <c r="QWF159" s="54"/>
      <c r="QWG159" s="54"/>
      <c r="QWH159" s="54"/>
      <c r="QWI159" s="58"/>
      <c r="QWJ159" s="58"/>
      <c r="QWK159" s="58"/>
      <c r="QWL159" s="58"/>
      <c r="QWM159" s="59"/>
      <c r="QWN159" s="60"/>
      <c r="QWO159" s="54"/>
      <c r="QWP159" s="54"/>
      <c r="QWQ159" s="36"/>
      <c r="QWR159" s="55"/>
      <c r="QWS159" s="54"/>
      <c r="QWT159" s="56"/>
      <c r="QWU159" s="57"/>
      <c r="QWV159" s="54"/>
      <c r="QWW159" s="54"/>
      <c r="QWX159" s="54"/>
      <c r="QWY159" s="58"/>
      <c r="QWZ159" s="58"/>
      <c r="QXA159" s="58"/>
      <c r="QXB159" s="58"/>
      <c r="QXC159" s="59"/>
      <c r="QXD159" s="60"/>
      <c r="QXE159" s="54"/>
      <c r="QXF159" s="54"/>
      <c r="QXG159" s="36"/>
      <c r="QXH159" s="55"/>
      <c r="QXI159" s="54"/>
      <c r="QXJ159" s="56"/>
      <c r="QXK159" s="57"/>
      <c r="QXL159" s="54"/>
      <c r="QXM159" s="54"/>
      <c r="QXN159" s="54"/>
      <c r="QXO159" s="58"/>
      <c r="QXP159" s="58"/>
      <c r="QXQ159" s="58"/>
      <c r="QXR159" s="58"/>
      <c r="QXS159" s="59"/>
      <c r="QXT159" s="60"/>
      <c r="QXU159" s="54"/>
      <c r="QXV159" s="54"/>
      <c r="QXW159" s="36"/>
      <c r="QXX159" s="55"/>
      <c r="QXY159" s="54"/>
      <c r="QXZ159" s="56"/>
      <c r="QYA159" s="57"/>
      <c r="QYB159" s="54"/>
      <c r="QYC159" s="54"/>
      <c r="QYD159" s="54"/>
      <c r="QYE159" s="58"/>
      <c r="QYF159" s="58"/>
      <c r="QYG159" s="58"/>
      <c r="QYH159" s="58"/>
      <c r="QYI159" s="59"/>
      <c r="QYJ159" s="60"/>
      <c r="QYK159" s="54"/>
      <c r="QYL159" s="54"/>
      <c r="QYM159" s="36"/>
      <c r="QYN159" s="55"/>
      <c r="QYO159" s="54"/>
      <c r="QYP159" s="56"/>
      <c r="QYQ159" s="57"/>
      <c r="QYR159" s="54"/>
      <c r="QYS159" s="54"/>
      <c r="QYT159" s="54"/>
      <c r="QYU159" s="58"/>
      <c r="QYV159" s="58"/>
      <c r="QYW159" s="58"/>
      <c r="QYX159" s="58"/>
      <c r="QYY159" s="59"/>
      <c r="QYZ159" s="60"/>
      <c r="QZA159" s="54"/>
      <c r="QZB159" s="54"/>
      <c r="QZC159" s="36"/>
      <c r="QZD159" s="55"/>
      <c r="QZE159" s="54"/>
      <c r="QZF159" s="56"/>
      <c r="QZG159" s="57"/>
      <c r="QZH159" s="54"/>
      <c r="QZI159" s="54"/>
      <c r="QZJ159" s="54"/>
      <c r="QZK159" s="58"/>
      <c r="QZL159" s="58"/>
      <c r="QZM159" s="58"/>
      <c r="QZN159" s="58"/>
      <c r="QZO159" s="59"/>
      <c r="QZP159" s="60"/>
      <c r="QZQ159" s="54"/>
      <c r="QZR159" s="54"/>
      <c r="QZS159" s="36"/>
      <c r="QZT159" s="55"/>
      <c r="QZU159" s="54"/>
      <c r="QZV159" s="56"/>
      <c r="QZW159" s="57"/>
      <c r="QZX159" s="54"/>
      <c r="QZY159" s="54"/>
      <c r="QZZ159" s="54"/>
      <c r="RAA159" s="58"/>
      <c r="RAB159" s="58"/>
      <c r="RAC159" s="58"/>
      <c r="RAD159" s="58"/>
      <c r="RAE159" s="59"/>
      <c r="RAF159" s="60"/>
      <c r="RAG159" s="54"/>
      <c r="RAH159" s="54"/>
      <c r="RAI159" s="36"/>
      <c r="RAJ159" s="55"/>
      <c r="RAK159" s="54"/>
      <c r="RAL159" s="56"/>
      <c r="RAM159" s="57"/>
      <c r="RAN159" s="54"/>
      <c r="RAO159" s="54"/>
      <c r="RAP159" s="54"/>
      <c r="RAQ159" s="58"/>
      <c r="RAR159" s="58"/>
      <c r="RAS159" s="58"/>
      <c r="RAT159" s="58"/>
      <c r="RAU159" s="59"/>
      <c r="RAV159" s="60"/>
      <c r="RAW159" s="54"/>
      <c r="RAX159" s="54"/>
      <c r="RAY159" s="36"/>
      <c r="RAZ159" s="55"/>
      <c r="RBA159" s="54"/>
      <c r="RBB159" s="56"/>
      <c r="RBC159" s="57"/>
      <c r="RBD159" s="54"/>
      <c r="RBE159" s="54"/>
      <c r="RBF159" s="54"/>
      <c r="RBG159" s="58"/>
      <c r="RBH159" s="58"/>
      <c r="RBI159" s="58"/>
      <c r="RBJ159" s="58"/>
      <c r="RBK159" s="59"/>
      <c r="RBL159" s="60"/>
      <c r="RBM159" s="54"/>
      <c r="RBN159" s="54"/>
      <c r="RBO159" s="36"/>
      <c r="RBP159" s="55"/>
      <c r="RBQ159" s="54"/>
      <c r="RBR159" s="56"/>
      <c r="RBS159" s="57"/>
      <c r="RBT159" s="54"/>
      <c r="RBU159" s="54"/>
      <c r="RBV159" s="54"/>
      <c r="RBW159" s="58"/>
      <c r="RBX159" s="58"/>
      <c r="RBY159" s="58"/>
      <c r="RBZ159" s="58"/>
      <c r="RCA159" s="59"/>
      <c r="RCB159" s="60"/>
      <c r="RCC159" s="54"/>
      <c r="RCD159" s="54"/>
      <c r="RCE159" s="36"/>
      <c r="RCF159" s="55"/>
      <c r="RCG159" s="54"/>
      <c r="RCH159" s="56"/>
      <c r="RCI159" s="57"/>
      <c r="RCJ159" s="54"/>
      <c r="RCK159" s="54"/>
      <c r="RCL159" s="54"/>
      <c r="RCM159" s="58"/>
      <c r="RCN159" s="58"/>
      <c r="RCO159" s="58"/>
      <c r="RCP159" s="58"/>
      <c r="RCQ159" s="59"/>
      <c r="RCR159" s="60"/>
      <c r="RCS159" s="54"/>
      <c r="RCT159" s="54"/>
      <c r="RCU159" s="36"/>
      <c r="RCV159" s="55"/>
      <c r="RCW159" s="54"/>
      <c r="RCX159" s="56"/>
      <c r="RCY159" s="57"/>
      <c r="RCZ159" s="54"/>
      <c r="RDA159" s="54"/>
      <c r="RDB159" s="54"/>
      <c r="RDC159" s="58"/>
      <c r="RDD159" s="58"/>
      <c r="RDE159" s="58"/>
      <c r="RDF159" s="58"/>
      <c r="RDG159" s="59"/>
      <c r="RDH159" s="60"/>
      <c r="RDI159" s="54"/>
      <c r="RDJ159" s="54"/>
      <c r="RDK159" s="36"/>
      <c r="RDL159" s="55"/>
      <c r="RDM159" s="54"/>
      <c r="RDN159" s="56"/>
      <c r="RDO159" s="57"/>
      <c r="RDP159" s="54"/>
      <c r="RDQ159" s="54"/>
      <c r="RDR159" s="54"/>
      <c r="RDS159" s="58"/>
      <c r="RDT159" s="58"/>
      <c r="RDU159" s="58"/>
      <c r="RDV159" s="58"/>
      <c r="RDW159" s="59"/>
      <c r="RDX159" s="60"/>
      <c r="RDY159" s="54"/>
      <c r="RDZ159" s="54"/>
      <c r="REA159" s="36"/>
      <c r="REB159" s="55"/>
      <c r="REC159" s="54"/>
      <c r="RED159" s="56"/>
      <c r="REE159" s="57"/>
      <c r="REF159" s="54"/>
      <c r="REG159" s="54"/>
      <c r="REH159" s="54"/>
      <c r="REI159" s="58"/>
      <c r="REJ159" s="58"/>
      <c r="REK159" s="58"/>
      <c r="REL159" s="58"/>
      <c r="REM159" s="59"/>
      <c r="REN159" s="60"/>
      <c r="REO159" s="54"/>
      <c r="REP159" s="54"/>
      <c r="REQ159" s="36"/>
      <c r="RER159" s="55"/>
      <c r="RES159" s="54"/>
      <c r="RET159" s="56"/>
      <c r="REU159" s="57"/>
      <c r="REV159" s="54"/>
      <c r="REW159" s="54"/>
      <c r="REX159" s="54"/>
      <c r="REY159" s="58"/>
      <c r="REZ159" s="58"/>
      <c r="RFA159" s="58"/>
      <c r="RFB159" s="58"/>
      <c r="RFC159" s="59"/>
      <c r="RFD159" s="60"/>
      <c r="RFE159" s="54"/>
      <c r="RFF159" s="54"/>
      <c r="RFG159" s="36"/>
      <c r="RFH159" s="55"/>
      <c r="RFI159" s="54"/>
      <c r="RFJ159" s="56"/>
      <c r="RFK159" s="57"/>
      <c r="RFL159" s="54"/>
      <c r="RFM159" s="54"/>
      <c r="RFN159" s="54"/>
      <c r="RFO159" s="58"/>
      <c r="RFP159" s="58"/>
      <c r="RFQ159" s="58"/>
      <c r="RFR159" s="58"/>
      <c r="RFS159" s="59"/>
      <c r="RFT159" s="60"/>
      <c r="RFU159" s="54"/>
      <c r="RFV159" s="54"/>
      <c r="RFW159" s="36"/>
      <c r="RFX159" s="55"/>
      <c r="RFY159" s="54"/>
      <c r="RFZ159" s="56"/>
      <c r="RGA159" s="57"/>
      <c r="RGB159" s="54"/>
      <c r="RGC159" s="54"/>
      <c r="RGD159" s="54"/>
      <c r="RGE159" s="58"/>
      <c r="RGF159" s="58"/>
      <c r="RGG159" s="58"/>
      <c r="RGH159" s="58"/>
      <c r="RGI159" s="59"/>
      <c r="RGJ159" s="60"/>
      <c r="RGK159" s="54"/>
      <c r="RGL159" s="54"/>
      <c r="RGM159" s="36"/>
      <c r="RGN159" s="55"/>
      <c r="RGO159" s="54"/>
      <c r="RGP159" s="56"/>
      <c r="RGQ159" s="57"/>
      <c r="RGR159" s="54"/>
      <c r="RGS159" s="54"/>
      <c r="RGT159" s="54"/>
      <c r="RGU159" s="58"/>
      <c r="RGV159" s="58"/>
      <c r="RGW159" s="58"/>
      <c r="RGX159" s="58"/>
      <c r="RGY159" s="59"/>
      <c r="RGZ159" s="60"/>
      <c r="RHA159" s="54"/>
      <c r="RHB159" s="54"/>
      <c r="RHC159" s="36"/>
      <c r="RHD159" s="55"/>
      <c r="RHE159" s="54"/>
      <c r="RHF159" s="56"/>
      <c r="RHG159" s="57"/>
      <c r="RHH159" s="54"/>
      <c r="RHI159" s="54"/>
      <c r="RHJ159" s="54"/>
      <c r="RHK159" s="58"/>
      <c r="RHL159" s="58"/>
      <c r="RHM159" s="58"/>
      <c r="RHN159" s="58"/>
      <c r="RHO159" s="59"/>
      <c r="RHP159" s="60"/>
      <c r="RHQ159" s="54"/>
      <c r="RHR159" s="54"/>
      <c r="RHS159" s="36"/>
      <c r="RHT159" s="55"/>
      <c r="RHU159" s="54"/>
      <c r="RHV159" s="56"/>
      <c r="RHW159" s="57"/>
      <c r="RHX159" s="54"/>
      <c r="RHY159" s="54"/>
      <c r="RHZ159" s="54"/>
      <c r="RIA159" s="58"/>
      <c r="RIB159" s="58"/>
      <c r="RIC159" s="58"/>
      <c r="RID159" s="58"/>
      <c r="RIE159" s="59"/>
      <c r="RIF159" s="60"/>
      <c r="RIG159" s="54"/>
      <c r="RIH159" s="54"/>
      <c r="RII159" s="36"/>
      <c r="RIJ159" s="55"/>
      <c r="RIK159" s="54"/>
      <c r="RIL159" s="56"/>
      <c r="RIM159" s="57"/>
      <c r="RIN159" s="54"/>
      <c r="RIO159" s="54"/>
      <c r="RIP159" s="54"/>
      <c r="RIQ159" s="58"/>
      <c r="RIR159" s="58"/>
      <c r="RIS159" s="58"/>
      <c r="RIT159" s="58"/>
      <c r="RIU159" s="59"/>
      <c r="RIV159" s="60"/>
      <c r="RIW159" s="54"/>
      <c r="RIX159" s="54"/>
      <c r="RIY159" s="36"/>
      <c r="RIZ159" s="55"/>
      <c r="RJA159" s="54"/>
      <c r="RJB159" s="56"/>
      <c r="RJC159" s="57"/>
      <c r="RJD159" s="54"/>
      <c r="RJE159" s="54"/>
      <c r="RJF159" s="54"/>
      <c r="RJG159" s="58"/>
      <c r="RJH159" s="58"/>
      <c r="RJI159" s="58"/>
      <c r="RJJ159" s="58"/>
      <c r="RJK159" s="59"/>
      <c r="RJL159" s="60"/>
      <c r="RJM159" s="54"/>
      <c r="RJN159" s="54"/>
      <c r="RJO159" s="36"/>
      <c r="RJP159" s="55"/>
      <c r="RJQ159" s="54"/>
      <c r="RJR159" s="56"/>
      <c r="RJS159" s="57"/>
      <c r="RJT159" s="54"/>
      <c r="RJU159" s="54"/>
      <c r="RJV159" s="54"/>
      <c r="RJW159" s="58"/>
      <c r="RJX159" s="58"/>
      <c r="RJY159" s="58"/>
      <c r="RJZ159" s="58"/>
      <c r="RKA159" s="59"/>
      <c r="RKB159" s="60"/>
      <c r="RKC159" s="54"/>
      <c r="RKD159" s="54"/>
      <c r="RKE159" s="36"/>
      <c r="RKF159" s="55"/>
      <c r="RKG159" s="54"/>
      <c r="RKH159" s="56"/>
      <c r="RKI159" s="57"/>
      <c r="RKJ159" s="54"/>
      <c r="RKK159" s="54"/>
      <c r="RKL159" s="54"/>
      <c r="RKM159" s="58"/>
      <c r="RKN159" s="58"/>
      <c r="RKO159" s="58"/>
      <c r="RKP159" s="58"/>
      <c r="RKQ159" s="59"/>
      <c r="RKR159" s="60"/>
      <c r="RKS159" s="54"/>
      <c r="RKT159" s="54"/>
      <c r="RKU159" s="36"/>
      <c r="RKV159" s="55"/>
      <c r="RKW159" s="54"/>
      <c r="RKX159" s="56"/>
      <c r="RKY159" s="57"/>
      <c r="RKZ159" s="54"/>
      <c r="RLA159" s="54"/>
      <c r="RLB159" s="54"/>
      <c r="RLC159" s="58"/>
      <c r="RLD159" s="58"/>
      <c r="RLE159" s="58"/>
      <c r="RLF159" s="58"/>
      <c r="RLG159" s="59"/>
      <c r="RLH159" s="60"/>
      <c r="RLI159" s="54"/>
      <c r="RLJ159" s="54"/>
      <c r="RLK159" s="36"/>
      <c r="RLL159" s="55"/>
      <c r="RLM159" s="54"/>
      <c r="RLN159" s="56"/>
      <c r="RLO159" s="57"/>
      <c r="RLP159" s="54"/>
      <c r="RLQ159" s="54"/>
      <c r="RLR159" s="54"/>
      <c r="RLS159" s="58"/>
      <c r="RLT159" s="58"/>
      <c r="RLU159" s="58"/>
      <c r="RLV159" s="58"/>
      <c r="RLW159" s="59"/>
      <c r="RLX159" s="60"/>
      <c r="RLY159" s="54"/>
      <c r="RLZ159" s="54"/>
      <c r="RMA159" s="36"/>
      <c r="RMB159" s="55"/>
      <c r="RMC159" s="54"/>
      <c r="RMD159" s="56"/>
      <c r="RME159" s="57"/>
      <c r="RMF159" s="54"/>
      <c r="RMG159" s="54"/>
      <c r="RMH159" s="54"/>
      <c r="RMI159" s="58"/>
      <c r="RMJ159" s="58"/>
      <c r="RMK159" s="58"/>
      <c r="RML159" s="58"/>
      <c r="RMM159" s="59"/>
      <c r="RMN159" s="60"/>
      <c r="RMO159" s="54"/>
      <c r="RMP159" s="54"/>
      <c r="RMQ159" s="36"/>
      <c r="RMR159" s="55"/>
      <c r="RMS159" s="54"/>
      <c r="RMT159" s="56"/>
      <c r="RMU159" s="57"/>
      <c r="RMV159" s="54"/>
      <c r="RMW159" s="54"/>
      <c r="RMX159" s="54"/>
      <c r="RMY159" s="58"/>
      <c r="RMZ159" s="58"/>
      <c r="RNA159" s="58"/>
      <c r="RNB159" s="58"/>
      <c r="RNC159" s="59"/>
      <c r="RND159" s="60"/>
      <c r="RNE159" s="54"/>
      <c r="RNF159" s="54"/>
      <c r="RNG159" s="36"/>
      <c r="RNH159" s="55"/>
      <c r="RNI159" s="54"/>
      <c r="RNJ159" s="56"/>
      <c r="RNK159" s="57"/>
      <c r="RNL159" s="54"/>
      <c r="RNM159" s="54"/>
      <c r="RNN159" s="54"/>
      <c r="RNO159" s="58"/>
      <c r="RNP159" s="58"/>
      <c r="RNQ159" s="58"/>
      <c r="RNR159" s="58"/>
      <c r="RNS159" s="59"/>
      <c r="RNT159" s="60"/>
      <c r="RNU159" s="54"/>
      <c r="RNV159" s="54"/>
      <c r="RNW159" s="36"/>
      <c r="RNX159" s="55"/>
      <c r="RNY159" s="54"/>
      <c r="RNZ159" s="56"/>
      <c r="ROA159" s="57"/>
      <c r="ROB159" s="54"/>
      <c r="ROC159" s="54"/>
      <c r="ROD159" s="54"/>
      <c r="ROE159" s="58"/>
      <c r="ROF159" s="58"/>
      <c r="ROG159" s="58"/>
      <c r="ROH159" s="58"/>
      <c r="ROI159" s="59"/>
      <c r="ROJ159" s="60"/>
      <c r="ROK159" s="54"/>
      <c r="ROL159" s="54"/>
      <c r="ROM159" s="36"/>
      <c r="RON159" s="55"/>
      <c r="ROO159" s="54"/>
      <c r="ROP159" s="56"/>
      <c r="ROQ159" s="57"/>
      <c r="ROR159" s="54"/>
      <c r="ROS159" s="54"/>
      <c r="ROT159" s="54"/>
      <c r="ROU159" s="58"/>
      <c r="ROV159" s="58"/>
      <c r="ROW159" s="58"/>
      <c r="ROX159" s="58"/>
      <c r="ROY159" s="59"/>
      <c r="ROZ159" s="60"/>
      <c r="RPA159" s="54"/>
      <c r="RPB159" s="54"/>
      <c r="RPC159" s="36"/>
      <c r="RPD159" s="55"/>
      <c r="RPE159" s="54"/>
      <c r="RPF159" s="56"/>
      <c r="RPG159" s="57"/>
      <c r="RPH159" s="54"/>
      <c r="RPI159" s="54"/>
      <c r="RPJ159" s="54"/>
      <c r="RPK159" s="58"/>
      <c r="RPL159" s="58"/>
      <c r="RPM159" s="58"/>
      <c r="RPN159" s="58"/>
      <c r="RPO159" s="59"/>
      <c r="RPP159" s="60"/>
      <c r="RPQ159" s="54"/>
      <c r="RPR159" s="54"/>
      <c r="RPS159" s="36"/>
      <c r="RPT159" s="55"/>
      <c r="RPU159" s="54"/>
      <c r="RPV159" s="56"/>
      <c r="RPW159" s="57"/>
      <c r="RPX159" s="54"/>
      <c r="RPY159" s="54"/>
      <c r="RPZ159" s="54"/>
      <c r="RQA159" s="58"/>
      <c r="RQB159" s="58"/>
      <c r="RQC159" s="58"/>
      <c r="RQD159" s="58"/>
      <c r="RQE159" s="59"/>
      <c r="RQF159" s="60"/>
      <c r="RQG159" s="54"/>
      <c r="RQH159" s="54"/>
      <c r="RQI159" s="36"/>
      <c r="RQJ159" s="55"/>
      <c r="RQK159" s="54"/>
      <c r="RQL159" s="56"/>
      <c r="RQM159" s="57"/>
      <c r="RQN159" s="54"/>
      <c r="RQO159" s="54"/>
      <c r="RQP159" s="54"/>
      <c r="RQQ159" s="58"/>
      <c r="RQR159" s="58"/>
      <c r="RQS159" s="58"/>
      <c r="RQT159" s="58"/>
      <c r="RQU159" s="59"/>
      <c r="RQV159" s="60"/>
      <c r="RQW159" s="54"/>
      <c r="RQX159" s="54"/>
      <c r="RQY159" s="36"/>
      <c r="RQZ159" s="55"/>
      <c r="RRA159" s="54"/>
      <c r="RRB159" s="56"/>
      <c r="RRC159" s="57"/>
      <c r="RRD159" s="54"/>
      <c r="RRE159" s="54"/>
      <c r="RRF159" s="54"/>
      <c r="RRG159" s="58"/>
      <c r="RRH159" s="58"/>
      <c r="RRI159" s="58"/>
      <c r="RRJ159" s="58"/>
      <c r="RRK159" s="59"/>
      <c r="RRL159" s="60"/>
      <c r="RRM159" s="54"/>
      <c r="RRN159" s="54"/>
      <c r="RRO159" s="36"/>
      <c r="RRP159" s="55"/>
      <c r="RRQ159" s="54"/>
      <c r="RRR159" s="56"/>
      <c r="RRS159" s="57"/>
      <c r="RRT159" s="54"/>
      <c r="RRU159" s="54"/>
      <c r="RRV159" s="54"/>
      <c r="RRW159" s="58"/>
      <c r="RRX159" s="58"/>
      <c r="RRY159" s="58"/>
      <c r="RRZ159" s="58"/>
      <c r="RSA159" s="59"/>
      <c r="RSB159" s="60"/>
      <c r="RSC159" s="54"/>
      <c r="RSD159" s="54"/>
      <c r="RSE159" s="36"/>
      <c r="RSF159" s="55"/>
      <c r="RSG159" s="54"/>
      <c r="RSH159" s="56"/>
      <c r="RSI159" s="57"/>
      <c r="RSJ159" s="54"/>
      <c r="RSK159" s="54"/>
      <c r="RSL159" s="54"/>
      <c r="RSM159" s="58"/>
      <c r="RSN159" s="58"/>
      <c r="RSO159" s="58"/>
      <c r="RSP159" s="58"/>
      <c r="RSQ159" s="59"/>
      <c r="RSR159" s="60"/>
      <c r="RSS159" s="54"/>
      <c r="RST159" s="54"/>
      <c r="RSU159" s="36"/>
      <c r="RSV159" s="55"/>
      <c r="RSW159" s="54"/>
      <c r="RSX159" s="56"/>
      <c r="RSY159" s="57"/>
      <c r="RSZ159" s="54"/>
      <c r="RTA159" s="54"/>
      <c r="RTB159" s="54"/>
      <c r="RTC159" s="58"/>
      <c r="RTD159" s="58"/>
      <c r="RTE159" s="58"/>
      <c r="RTF159" s="58"/>
      <c r="RTG159" s="59"/>
      <c r="RTH159" s="60"/>
      <c r="RTI159" s="54"/>
      <c r="RTJ159" s="54"/>
      <c r="RTK159" s="36"/>
      <c r="RTL159" s="55"/>
      <c r="RTM159" s="54"/>
      <c r="RTN159" s="56"/>
      <c r="RTO159" s="57"/>
      <c r="RTP159" s="54"/>
      <c r="RTQ159" s="54"/>
      <c r="RTR159" s="54"/>
      <c r="RTS159" s="58"/>
      <c r="RTT159" s="58"/>
      <c r="RTU159" s="58"/>
      <c r="RTV159" s="58"/>
      <c r="RTW159" s="59"/>
      <c r="RTX159" s="60"/>
      <c r="RTY159" s="54"/>
      <c r="RTZ159" s="54"/>
      <c r="RUA159" s="36"/>
      <c r="RUB159" s="55"/>
      <c r="RUC159" s="54"/>
      <c r="RUD159" s="56"/>
      <c r="RUE159" s="57"/>
      <c r="RUF159" s="54"/>
      <c r="RUG159" s="54"/>
      <c r="RUH159" s="54"/>
      <c r="RUI159" s="58"/>
      <c r="RUJ159" s="58"/>
      <c r="RUK159" s="58"/>
      <c r="RUL159" s="58"/>
      <c r="RUM159" s="59"/>
      <c r="RUN159" s="60"/>
      <c r="RUO159" s="54"/>
      <c r="RUP159" s="54"/>
      <c r="RUQ159" s="36"/>
      <c r="RUR159" s="55"/>
      <c r="RUS159" s="54"/>
      <c r="RUT159" s="56"/>
      <c r="RUU159" s="57"/>
      <c r="RUV159" s="54"/>
      <c r="RUW159" s="54"/>
      <c r="RUX159" s="54"/>
      <c r="RUY159" s="58"/>
      <c r="RUZ159" s="58"/>
      <c r="RVA159" s="58"/>
      <c r="RVB159" s="58"/>
      <c r="RVC159" s="59"/>
      <c r="RVD159" s="60"/>
      <c r="RVE159" s="54"/>
      <c r="RVF159" s="54"/>
      <c r="RVG159" s="36"/>
      <c r="RVH159" s="55"/>
      <c r="RVI159" s="54"/>
      <c r="RVJ159" s="56"/>
      <c r="RVK159" s="57"/>
      <c r="RVL159" s="54"/>
      <c r="RVM159" s="54"/>
      <c r="RVN159" s="54"/>
      <c r="RVO159" s="58"/>
      <c r="RVP159" s="58"/>
      <c r="RVQ159" s="58"/>
      <c r="RVR159" s="58"/>
      <c r="RVS159" s="59"/>
      <c r="RVT159" s="60"/>
      <c r="RVU159" s="54"/>
      <c r="RVV159" s="54"/>
      <c r="RVW159" s="36"/>
      <c r="RVX159" s="55"/>
      <c r="RVY159" s="54"/>
      <c r="RVZ159" s="56"/>
      <c r="RWA159" s="57"/>
      <c r="RWB159" s="54"/>
      <c r="RWC159" s="54"/>
      <c r="RWD159" s="54"/>
      <c r="RWE159" s="58"/>
      <c r="RWF159" s="58"/>
      <c r="RWG159" s="58"/>
      <c r="RWH159" s="58"/>
      <c r="RWI159" s="59"/>
      <c r="RWJ159" s="60"/>
      <c r="RWK159" s="54"/>
      <c r="RWL159" s="54"/>
      <c r="RWM159" s="36"/>
      <c r="RWN159" s="55"/>
      <c r="RWO159" s="54"/>
      <c r="RWP159" s="56"/>
      <c r="RWQ159" s="57"/>
      <c r="RWR159" s="54"/>
      <c r="RWS159" s="54"/>
      <c r="RWT159" s="54"/>
      <c r="RWU159" s="58"/>
      <c r="RWV159" s="58"/>
      <c r="RWW159" s="58"/>
      <c r="RWX159" s="58"/>
      <c r="RWY159" s="59"/>
      <c r="RWZ159" s="60"/>
      <c r="RXA159" s="54"/>
      <c r="RXB159" s="54"/>
      <c r="RXC159" s="36"/>
      <c r="RXD159" s="55"/>
      <c r="RXE159" s="54"/>
      <c r="RXF159" s="56"/>
      <c r="RXG159" s="57"/>
      <c r="RXH159" s="54"/>
      <c r="RXI159" s="54"/>
      <c r="RXJ159" s="54"/>
      <c r="RXK159" s="58"/>
      <c r="RXL159" s="58"/>
      <c r="RXM159" s="58"/>
      <c r="RXN159" s="58"/>
      <c r="RXO159" s="59"/>
      <c r="RXP159" s="60"/>
      <c r="RXQ159" s="54"/>
      <c r="RXR159" s="54"/>
      <c r="RXS159" s="36"/>
      <c r="RXT159" s="55"/>
      <c r="RXU159" s="54"/>
      <c r="RXV159" s="56"/>
      <c r="RXW159" s="57"/>
      <c r="RXX159" s="54"/>
      <c r="RXY159" s="54"/>
      <c r="RXZ159" s="54"/>
      <c r="RYA159" s="58"/>
      <c r="RYB159" s="58"/>
      <c r="RYC159" s="58"/>
      <c r="RYD159" s="58"/>
      <c r="RYE159" s="59"/>
      <c r="RYF159" s="60"/>
      <c r="RYG159" s="54"/>
      <c r="RYH159" s="54"/>
      <c r="RYI159" s="36"/>
      <c r="RYJ159" s="55"/>
      <c r="RYK159" s="54"/>
      <c r="RYL159" s="56"/>
      <c r="RYM159" s="57"/>
      <c r="RYN159" s="54"/>
      <c r="RYO159" s="54"/>
      <c r="RYP159" s="54"/>
      <c r="RYQ159" s="58"/>
      <c r="RYR159" s="58"/>
      <c r="RYS159" s="58"/>
      <c r="RYT159" s="58"/>
      <c r="RYU159" s="59"/>
      <c r="RYV159" s="60"/>
      <c r="RYW159" s="54"/>
      <c r="RYX159" s="54"/>
      <c r="RYY159" s="36"/>
      <c r="RYZ159" s="55"/>
      <c r="RZA159" s="54"/>
      <c r="RZB159" s="56"/>
      <c r="RZC159" s="57"/>
      <c r="RZD159" s="54"/>
      <c r="RZE159" s="54"/>
      <c r="RZF159" s="54"/>
      <c r="RZG159" s="58"/>
      <c r="RZH159" s="58"/>
      <c r="RZI159" s="58"/>
      <c r="RZJ159" s="58"/>
      <c r="RZK159" s="59"/>
      <c r="RZL159" s="60"/>
      <c r="RZM159" s="54"/>
      <c r="RZN159" s="54"/>
      <c r="RZO159" s="36"/>
      <c r="RZP159" s="55"/>
      <c r="RZQ159" s="54"/>
      <c r="RZR159" s="56"/>
      <c r="RZS159" s="57"/>
      <c r="RZT159" s="54"/>
      <c r="RZU159" s="54"/>
      <c r="RZV159" s="54"/>
      <c r="RZW159" s="58"/>
      <c r="RZX159" s="58"/>
      <c r="RZY159" s="58"/>
      <c r="RZZ159" s="58"/>
      <c r="SAA159" s="59"/>
      <c r="SAB159" s="60"/>
      <c r="SAC159" s="54"/>
      <c r="SAD159" s="54"/>
      <c r="SAE159" s="36"/>
      <c r="SAF159" s="55"/>
      <c r="SAG159" s="54"/>
      <c r="SAH159" s="56"/>
      <c r="SAI159" s="57"/>
      <c r="SAJ159" s="54"/>
      <c r="SAK159" s="54"/>
      <c r="SAL159" s="54"/>
      <c r="SAM159" s="58"/>
      <c r="SAN159" s="58"/>
      <c r="SAO159" s="58"/>
      <c r="SAP159" s="58"/>
      <c r="SAQ159" s="59"/>
      <c r="SAR159" s="60"/>
      <c r="SAS159" s="54"/>
      <c r="SAT159" s="54"/>
      <c r="SAU159" s="36"/>
      <c r="SAV159" s="55"/>
      <c r="SAW159" s="54"/>
      <c r="SAX159" s="56"/>
      <c r="SAY159" s="57"/>
      <c r="SAZ159" s="54"/>
      <c r="SBA159" s="54"/>
      <c r="SBB159" s="54"/>
      <c r="SBC159" s="58"/>
      <c r="SBD159" s="58"/>
      <c r="SBE159" s="58"/>
      <c r="SBF159" s="58"/>
      <c r="SBG159" s="59"/>
      <c r="SBH159" s="60"/>
      <c r="SBI159" s="54"/>
      <c r="SBJ159" s="54"/>
      <c r="SBK159" s="36"/>
      <c r="SBL159" s="55"/>
      <c r="SBM159" s="54"/>
      <c r="SBN159" s="56"/>
      <c r="SBO159" s="57"/>
      <c r="SBP159" s="54"/>
      <c r="SBQ159" s="54"/>
      <c r="SBR159" s="54"/>
      <c r="SBS159" s="58"/>
      <c r="SBT159" s="58"/>
      <c r="SBU159" s="58"/>
      <c r="SBV159" s="58"/>
      <c r="SBW159" s="59"/>
      <c r="SBX159" s="60"/>
      <c r="SBY159" s="54"/>
      <c r="SBZ159" s="54"/>
      <c r="SCA159" s="36"/>
      <c r="SCB159" s="55"/>
      <c r="SCC159" s="54"/>
      <c r="SCD159" s="56"/>
      <c r="SCE159" s="57"/>
      <c r="SCF159" s="54"/>
      <c r="SCG159" s="54"/>
      <c r="SCH159" s="54"/>
      <c r="SCI159" s="58"/>
      <c r="SCJ159" s="58"/>
      <c r="SCK159" s="58"/>
      <c r="SCL159" s="58"/>
      <c r="SCM159" s="59"/>
      <c r="SCN159" s="60"/>
      <c r="SCO159" s="54"/>
      <c r="SCP159" s="54"/>
      <c r="SCQ159" s="36"/>
      <c r="SCR159" s="55"/>
      <c r="SCS159" s="54"/>
      <c r="SCT159" s="56"/>
      <c r="SCU159" s="57"/>
      <c r="SCV159" s="54"/>
      <c r="SCW159" s="54"/>
      <c r="SCX159" s="54"/>
      <c r="SCY159" s="58"/>
      <c r="SCZ159" s="58"/>
      <c r="SDA159" s="58"/>
      <c r="SDB159" s="58"/>
      <c r="SDC159" s="59"/>
      <c r="SDD159" s="60"/>
      <c r="SDE159" s="54"/>
      <c r="SDF159" s="54"/>
      <c r="SDG159" s="36"/>
      <c r="SDH159" s="55"/>
      <c r="SDI159" s="54"/>
      <c r="SDJ159" s="56"/>
      <c r="SDK159" s="57"/>
      <c r="SDL159" s="54"/>
      <c r="SDM159" s="54"/>
      <c r="SDN159" s="54"/>
      <c r="SDO159" s="58"/>
      <c r="SDP159" s="58"/>
      <c r="SDQ159" s="58"/>
      <c r="SDR159" s="58"/>
      <c r="SDS159" s="59"/>
      <c r="SDT159" s="60"/>
      <c r="SDU159" s="54"/>
      <c r="SDV159" s="54"/>
      <c r="SDW159" s="36"/>
      <c r="SDX159" s="55"/>
      <c r="SDY159" s="54"/>
      <c r="SDZ159" s="56"/>
      <c r="SEA159" s="57"/>
      <c r="SEB159" s="54"/>
      <c r="SEC159" s="54"/>
      <c r="SED159" s="54"/>
      <c r="SEE159" s="58"/>
      <c r="SEF159" s="58"/>
      <c r="SEG159" s="58"/>
      <c r="SEH159" s="58"/>
      <c r="SEI159" s="59"/>
      <c r="SEJ159" s="60"/>
      <c r="SEK159" s="54"/>
      <c r="SEL159" s="54"/>
      <c r="SEM159" s="36"/>
      <c r="SEN159" s="55"/>
      <c r="SEO159" s="54"/>
      <c r="SEP159" s="56"/>
      <c r="SEQ159" s="57"/>
      <c r="SER159" s="54"/>
      <c r="SES159" s="54"/>
      <c r="SET159" s="54"/>
      <c r="SEU159" s="58"/>
      <c r="SEV159" s="58"/>
      <c r="SEW159" s="58"/>
      <c r="SEX159" s="58"/>
      <c r="SEY159" s="59"/>
      <c r="SEZ159" s="60"/>
      <c r="SFA159" s="54"/>
      <c r="SFB159" s="54"/>
      <c r="SFC159" s="36"/>
      <c r="SFD159" s="55"/>
      <c r="SFE159" s="54"/>
      <c r="SFF159" s="56"/>
      <c r="SFG159" s="57"/>
      <c r="SFH159" s="54"/>
      <c r="SFI159" s="54"/>
      <c r="SFJ159" s="54"/>
      <c r="SFK159" s="58"/>
      <c r="SFL159" s="58"/>
      <c r="SFM159" s="58"/>
      <c r="SFN159" s="58"/>
      <c r="SFO159" s="59"/>
      <c r="SFP159" s="60"/>
      <c r="SFQ159" s="54"/>
      <c r="SFR159" s="54"/>
      <c r="SFS159" s="36"/>
      <c r="SFT159" s="55"/>
      <c r="SFU159" s="54"/>
      <c r="SFV159" s="56"/>
      <c r="SFW159" s="57"/>
      <c r="SFX159" s="54"/>
      <c r="SFY159" s="54"/>
      <c r="SFZ159" s="54"/>
      <c r="SGA159" s="58"/>
      <c r="SGB159" s="58"/>
      <c r="SGC159" s="58"/>
      <c r="SGD159" s="58"/>
      <c r="SGE159" s="59"/>
      <c r="SGF159" s="60"/>
      <c r="SGG159" s="54"/>
      <c r="SGH159" s="54"/>
      <c r="SGI159" s="36"/>
      <c r="SGJ159" s="55"/>
      <c r="SGK159" s="54"/>
      <c r="SGL159" s="56"/>
      <c r="SGM159" s="57"/>
      <c r="SGN159" s="54"/>
      <c r="SGO159" s="54"/>
      <c r="SGP159" s="54"/>
      <c r="SGQ159" s="58"/>
      <c r="SGR159" s="58"/>
      <c r="SGS159" s="58"/>
      <c r="SGT159" s="58"/>
      <c r="SGU159" s="59"/>
      <c r="SGV159" s="60"/>
      <c r="SGW159" s="54"/>
      <c r="SGX159" s="54"/>
      <c r="SGY159" s="36"/>
      <c r="SGZ159" s="55"/>
      <c r="SHA159" s="54"/>
      <c r="SHB159" s="56"/>
      <c r="SHC159" s="57"/>
      <c r="SHD159" s="54"/>
      <c r="SHE159" s="54"/>
      <c r="SHF159" s="54"/>
      <c r="SHG159" s="58"/>
      <c r="SHH159" s="58"/>
      <c r="SHI159" s="58"/>
      <c r="SHJ159" s="58"/>
      <c r="SHK159" s="59"/>
      <c r="SHL159" s="60"/>
      <c r="SHM159" s="54"/>
      <c r="SHN159" s="54"/>
      <c r="SHO159" s="36"/>
      <c r="SHP159" s="55"/>
      <c r="SHQ159" s="54"/>
      <c r="SHR159" s="56"/>
      <c r="SHS159" s="57"/>
      <c r="SHT159" s="54"/>
      <c r="SHU159" s="54"/>
      <c r="SHV159" s="54"/>
      <c r="SHW159" s="58"/>
      <c r="SHX159" s="58"/>
      <c r="SHY159" s="58"/>
      <c r="SHZ159" s="58"/>
      <c r="SIA159" s="59"/>
      <c r="SIB159" s="60"/>
      <c r="SIC159" s="54"/>
      <c r="SID159" s="54"/>
      <c r="SIE159" s="36"/>
      <c r="SIF159" s="55"/>
      <c r="SIG159" s="54"/>
      <c r="SIH159" s="56"/>
      <c r="SII159" s="57"/>
      <c r="SIJ159" s="54"/>
      <c r="SIK159" s="54"/>
      <c r="SIL159" s="54"/>
      <c r="SIM159" s="58"/>
      <c r="SIN159" s="58"/>
      <c r="SIO159" s="58"/>
      <c r="SIP159" s="58"/>
      <c r="SIQ159" s="59"/>
      <c r="SIR159" s="60"/>
      <c r="SIS159" s="54"/>
      <c r="SIT159" s="54"/>
      <c r="SIU159" s="36"/>
      <c r="SIV159" s="55"/>
      <c r="SIW159" s="54"/>
      <c r="SIX159" s="56"/>
      <c r="SIY159" s="57"/>
      <c r="SIZ159" s="54"/>
      <c r="SJA159" s="54"/>
      <c r="SJB159" s="54"/>
      <c r="SJC159" s="58"/>
      <c r="SJD159" s="58"/>
      <c r="SJE159" s="58"/>
      <c r="SJF159" s="58"/>
      <c r="SJG159" s="59"/>
      <c r="SJH159" s="60"/>
      <c r="SJI159" s="54"/>
      <c r="SJJ159" s="54"/>
      <c r="SJK159" s="36"/>
      <c r="SJL159" s="55"/>
      <c r="SJM159" s="54"/>
      <c r="SJN159" s="56"/>
      <c r="SJO159" s="57"/>
      <c r="SJP159" s="54"/>
      <c r="SJQ159" s="54"/>
      <c r="SJR159" s="54"/>
      <c r="SJS159" s="58"/>
      <c r="SJT159" s="58"/>
      <c r="SJU159" s="58"/>
      <c r="SJV159" s="58"/>
      <c r="SJW159" s="59"/>
      <c r="SJX159" s="60"/>
      <c r="SJY159" s="54"/>
      <c r="SJZ159" s="54"/>
      <c r="SKA159" s="36"/>
      <c r="SKB159" s="55"/>
      <c r="SKC159" s="54"/>
      <c r="SKD159" s="56"/>
      <c r="SKE159" s="57"/>
      <c r="SKF159" s="54"/>
      <c r="SKG159" s="54"/>
      <c r="SKH159" s="54"/>
      <c r="SKI159" s="58"/>
      <c r="SKJ159" s="58"/>
      <c r="SKK159" s="58"/>
      <c r="SKL159" s="58"/>
      <c r="SKM159" s="59"/>
      <c r="SKN159" s="60"/>
      <c r="SKO159" s="54"/>
      <c r="SKP159" s="54"/>
      <c r="SKQ159" s="36"/>
      <c r="SKR159" s="55"/>
      <c r="SKS159" s="54"/>
      <c r="SKT159" s="56"/>
      <c r="SKU159" s="57"/>
      <c r="SKV159" s="54"/>
      <c r="SKW159" s="54"/>
      <c r="SKX159" s="54"/>
      <c r="SKY159" s="58"/>
      <c r="SKZ159" s="58"/>
      <c r="SLA159" s="58"/>
      <c r="SLB159" s="58"/>
      <c r="SLC159" s="59"/>
      <c r="SLD159" s="60"/>
      <c r="SLE159" s="54"/>
      <c r="SLF159" s="54"/>
      <c r="SLG159" s="36"/>
      <c r="SLH159" s="55"/>
      <c r="SLI159" s="54"/>
      <c r="SLJ159" s="56"/>
      <c r="SLK159" s="57"/>
      <c r="SLL159" s="54"/>
      <c r="SLM159" s="54"/>
      <c r="SLN159" s="54"/>
      <c r="SLO159" s="58"/>
      <c r="SLP159" s="58"/>
      <c r="SLQ159" s="58"/>
      <c r="SLR159" s="58"/>
      <c r="SLS159" s="59"/>
      <c r="SLT159" s="60"/>
      <c r="SLU159" s="54"/>
      <c r="SLV159" s="54"/>
      <c r="SLW159" s="36"/>
      <c r="SLX159" s="55"/>
      <c r="SLY159" s="54"/>
      <c r="SLZ159" s="56"/>
      <c r="SMA159" s="57"/>
      <c r="SMB159" s="54"/>
      <c r="SMC159" s="54"/>
      <c r="SMD159" s="54"/>
      <c r="SME159" s="58"/>
      <c r="SMF159" s="58"/>
      <c r="SMG159" s="58"/>
      <c r="SMH159" s="58"/>
      <c r="SMI159" s="59"/>
      <c r="SMJ159" s="60"/>
      <c r="SMK159" s="54"/>
      <c r="SML159" s="54"/>
      <c r="SMM159" s="36"/>
      <c r="SMN159" s="55"/>
      <c r="SMO159" s="54"/>
      <c r="SMP159" s="56"/>
      <c r="SMQ159" s="57"/>
      <c r="SMR159" s="54"/>
      <c r="SMS159" s="54"/>
      <c r="SMT159" s="54"/>
      <c r="SMU159" s="58"/>
      <c r="SMV159" s="58"/>
      <c r="SMW159" s="58"/>
      <c r="SMX159" s="58"/>
      <c r="SMY159" s="59"/>
      <c r="SMZ159" s="60"/>
      <c r="SNA159" s="54"/>
      <c r="SNB159" s="54"/>
      <c r="SNC159" s="36"/>
      <c r="SND159" s="55"/>
      <c r="SNE159" s="54"/>
      <c r="SNF159" s="56"/>
      <c r="SNG159" s="57"/>
      <c r="SNH159" s="54"/>
      <c r="SNI159" s="54"/>
      <c r="SNJ159" s="54"/>
      <c r="SNK159" s="58"/>
      <c r="SNL159" s="58"/>
      <c r="SNM159" s="58"/>
      <c r="SNN159" s="58"/>
      <c r="SNO159" s="59"/>
      <c r="SNP159" s="60"/>
      <c r="SNQ159" s="54"/>
      <c r="SNR159" s="54"/>
      <c r="SNS159" s="36"/>
      <c r="SNT159" s="55"/>
      <c r="SNU159" s="54"/>
      <c r="SNV159" s="56"/>
      <c r="SNW159" s="57"/>
      <c r="SNX159" s="54"/>
      <c r="SNY159" s="54"/>
      <c r="SNZ159" s="54"/>
      <c r="SOA159" s="58"/>
      <c r="SOB159" s="58"/>
      <c r="SOC159" s="58"/>
      <c r="SOD159" s="58"/>
      <c r="SOE159" s="59"/>
      <c r="SOF159" s="60"/>
      <c r="SOG159" s="54"/>
      <c r="SOH159" s="54"/>
      <c r="SOI159" s="36"/>
      <c r="SOJ159" s="55"/>
      <c r="SOK159" s="54"/>
      <c r="SOL159" s="56"/>
      <c r="SOM159" s="57"/>
      <c r="SON159" s="54"/>
      <c r="SOO159" s="54"/>
      <c r="SOP159" s="54"/>
      <c r="SOQ159" s="58"/>
      <c r="SOR159" s="58"/>
      <c r="SOS159" s="58"/>
      <c r="SOT159" s="58"/>
      <c r="SOU159" s="59"/>
      <c r="SOV159" s="60"/>
      <c r="SOW159" s="54"/>
      <c r="SOX159" s="54"/>
      <c r="SOY159" s="36"/>
      <c r="SOZ159" s="55"/>
      <c r="SPA159" s="54"/>
      <c r="SPB159" s="56"/>
      <c r="SPC159" s="57"/>
      <c r="SPD159" s="54"/>
      <c r="SPE159" s="54"/>
      <c r="SPF159" s="54"/>
      <c r="SPG159" s="58"/>
      <c r="SPH159" s="58"/>
      <c r="SPI159" s="58"/>
      <c r="SPJ159" s="58"/>
      <c r="SPK159" s="59"/>
      <c r="SPL159" s="60"/>
      <c r="SPM159" s="54"/>
      <c r="SPN159" s="54"/>
      <c r="SPO159" s="36"/>
      <c r="SPP159" s="55"/>
      <c r="SPQ159" s="54"/>
      <c r="SPR159" s="56"/>
      <c r="SPS159" s="57"/>
      <c r="SPT159" s="54"/>
      <c r="SPU159" s="54"/>
      <c r="SPV159" s="54"/>
      <c r="SPW159" s="58"/>
      <c r="SPX159" s="58"/>
      <c r="SPY159" s="58"/>
      <c r="SPZ159" s="58"/>
      <c r="SQA159" s="59"/>
      <c r="SQB159" s="60"/>
      <c r="SQC159" s="54"/>
      <c r="SQD159" s="54"/>
      <c r="SQE159" s="36"/>
      <c r="SQF159" s="55"/>
      <c r="SQG159" s="54"/>
      <c r="SQH159" s="56"/>
      <c r="SQI159" s="57"/>
      <c r="SQJ159" s="54"/>
      <c r="SQK159" s="54"/>
      <c r="SQL159" s="54"/>
      <c r="SQM159" s="58"/>
      <c r="SQN159" s="58"/>
      <c r="SQO159" s="58"/>
      <c r="SQP159" s="58"/>
      <c r="SQQ159" s="59"/>
      <c r="SQR159" s="60"/>
      <c r="SQS159" s="54"/>
      <c r="SQT159" s="54"/>
      <c r="SQU159" s="36"/>
      <c r="SQV159" s="55"/>
      <c r="SQW159" s="54"/>
      <c r="SQX159" s="56"/>
      <c r="SQY159" s="57"/>
      <c r="SQZ159" s="54"/>
      <c r="SRA159" s="54"/>
      <c r="SRB159" s="54"/>
      <c r="SRC159" s="58"/>
      <c r="SRD159" s="58"/>
      <c r="SRE159" s="58"/>
      <c r="SRF159" s="58"/>
      <c r="SRG159" s="59"/>
      <c r="SRH159" s="60"/>
      <c r="SRI159" s="54"/>
      <c r="SRJ159" s="54"/>
      <c r="SRK159" s="36"/>
      <c r="SRL159" s="55"/>
      <c r="SRM159" s="54"/>
      <c r="SRN159" s="56"/>
      <c r="SRO159" s="57"/>
      <c r="SRP159" s="54"/>
      <c r="SRQ159" s="54"/>
      <c r="SRR159" s="54"/>
      <c r="SRS159" s="58"/>
      <c r="SRT159" s="58"/>
      <c r="SRU159" s="58"/>
      <c r="SRV159" s="58"/>
      <c r="SRW159" s="59"/>
      <c r="SRX159" s="60"/>
      <c r="SRY159" s="54"/>
      <c r="SRZ159" s="54"/>
      <c r="SSA159" s="36"/>
      <c r="SSB159" s="55"/>
      <c r="SSC159" s="54"/>
      <c r="SSD159" s="56"/>
      <c r="SSE159" s="57"/>
      <c r="SSF159" s="54"/>
      <c r="SSG159" s="54"/>
      <c r="SSH159" s="54"/>
      <c r="SSI159" s="58"/>
      <c r="SSJ159" s="58"/>
      <c r="SSK159" s="58"/>
      <c r="SSL159" s="58"/>
      <c r="SSM159" s="59"/>
      <c r="SSN159" s="60"/>
      <c r="SSO159" s="54"/>
      <c r="SSP159" s="54"/>
      <c r="SSQ159" s="36"/>
      <c r="SSR159" s="55"/>
      <c r="SSS159" s="54"/>
      <c r="SST159" s="56"/>
      <c r="SSU159" s="57"/>
      <c r="SSV159" s="54"/>
      <c r="SSW159" s="54"/>
      <c r="SSX159" s="54"/>
      <c r="SSY159" s="58"/>
      <c r="SSZ159" s="58"/>
      <c r="STA159" s="58"/>
      <c r="STB159" s="58"/>
      <c r="STC159" s="59"/>
      <c r="STD159" s="60"/>
      <c r="STE159" s="54"/>
      <c r="STF159" s="54"/>
      <c r="STG159" s="36"/>
      <c r="STH159" s="55"/>
      <c r="STI159" s="54"/>
      <c r="STJ159" s="56"/>
      <c r="STK159" s="57"/>
      <c r="STL159" s="54"/>
      <c r="STM159" s="54"/>
      <c r="STN159" s="54"/>
      <c r="STO159" s="58"/>
      <c r="STP159" s="58"/>
      <c r="STQ159" s="58"/>
      <c r="STR159" s="58"/>
      <c r="STS159" s="59"/>
      <c r="STT159" s="60"/>
      <c r="STU159" s="54"/>
      <c r="STV159" s="54"/>
      <c r="STW159" s="36"/>
      <c r="STX159" s="55"/>
      <c r="STY159" s="54"/>
      <c r="STZ159" s="56"/>
      <c r="SUA159" s="57"/>
      <c r="SUB159" s="54"/>
      <c r="SUC159" s="54"/>
      <c r="SUD159" s="54"/>
      <c r="SUE159" s="58"/>
      <c r="SUF159" s="58"/>
      <c r="SUG159" s="58"/>
      <c r="SUH159" s="58"/>
      <c r="SUI159" s="59"/>
      <c r="SUJ159" s="60"/>
      <c r="SUK159" s="54"/>
      <c r="SUL159" s="54"/>
      <c r="SUM159" s="36"/>
      <c r="SUN159" s="55"/>
      <c r="SUO159" s="54"/>
      <c r="SUP159" s="56"/>
      <c r="SUQ159" s="57"/>
      <c r="SUR159" s="54"/>
      <c r="SUS159" s="54"/>
      <c r="SUT159" s="54"/>
      <c r="SUU159" s="58"/>
      <c r="SUV159" s="58"/>
      <c r="SUW159" s="58"/>
      <c r="SUX159" s="58"/>
      <c r="SUY159" s="59"/>
      <c r="SUZ159" s="60"/>
      <c r="SVA159" s="54"/>
      <c r="SVB159" s="54"/>
      <c r="SVC159" s="36"/>
      <c r="SVD159" s="55"/>
      <c r="SVE159" s="54"/>
      <c r="SVF159" s="56"/>
      <c r="SVG159" s="57"/>
      <c r="SVH159" s="54"/>
      <c r="SVI159" s="54"/>
      <c r="SVJ159" s="54"/>
      <c r="SVK159" s="58"/>
      <c r="SVL159" s="58"/>
      <c r="SVM159" s="58"/>
      <c r="SVN159" s="58"/>
      <c r="SVO159" s="59"/>
      <c r="SVP159" s="60"/>
      <c r="SVQ159" s="54"/>
      <c r="SVR159" s="54"/>
      <c r="SVS159" s="36"/>
      <c r="SVT159" s="55"/>
      <c r="SVU159" s="54"/>
      <c r="SVV159" s="56"/>
      <c r="SVW159" s="57"/>
      <c r="SVX159" s="54"/>
      <c r="SVY159" s="54"/>
      <c r="SVZ159" s="54"/>
      <c r="SWA159" s="58"/>
      <c r="SWB159" s="58"/>
      <c r="SWC159" s="58"/>
      <c r="SWD159" s="58"/>
      <c r="SWE159" s="59"/>
      <c r="SWF159" s="60"/>
      <c r="SWG159" s="54"/>
      <c r="SWH159" s="54"/>
      <c r="SWI159" s="36"/>
      <c r="SWJ159" s="55"/>
      <c r="SWK159" s="54"/>
      <c r="SWL159" s="56"/>
      <c r="SWM159" s="57"/>
      <c r="SWN159" s="54"/>
      <c r="SWO159" s="54"/>
      <c r="SWP159" s="54"/>
      <c r="SWQ159" s="58"/>
      <c r="SWR159" s="58"/>
      <c r="SWS159" s="58"/>
      <c r="SWT159" s="58"/>
      <c r="SWU159" s="59"/>
      <c r="SWV159" s="60"/>
      <c r="SWW159" s="54"/>
      <c r="SWX159" s="54"/>
      <c r="SWY159" s="36"/>
      <c r="SWZ159" s="55"/>
      <c r="SXA159" s="54"/>
      <c r="SXB159" s="56"/>
      <c r="SXC159" s="57"/>
      <c r="SXD159" s="54"/>
      <c r="SXE159" s="54"/>
      <c r="SXF159" s="54"/>
      <c r="SXG159" s="58"/>
      <c r="SXH159" s="58"/>
      <c r="SXI159" s="58"/>
      <c r="SXJ159" s="58"/>
      <c r="SXK159" s="59"/>
      <c r="SXL159" s="60"/>
      <c r="SXM159" s="54"/>
      <c r="SXN159" s="54"/>
      <c r="SXO159" s="36"/>
      <c r="SXP159" s="55"/>
      <c r="SXQ159" s="54"/>
      <c r="SXR159" s="56"/>
      <c r="SXS159" s="57"/>
      <c r="SXT159" s="54"/>
      <c r="SXU159" s="54"/>
      <c r="SXV159" s="54"/>
      <c r="SXW159" s="58"/>
      <c r="SXX159" s="58"/>
      <c r="SXY159" s="58"/>
      <c r="SXZ159" s="58"/>
      <c r="SYA159" s="59"/>
      <c r="SYB159" s="60"/>
      <c r="SYC159" s="54"/>
      <c r="SYD159" s="54"/>
      <c r="SYE159" s="36"/>
      <c r="SYF159" s="55"/>
      <c r="SYG159" s="54"/>
      <c r="SYH159" s="56"/>
      <c r="SYI159" s="57"/>
      <c r="SYJ159" s="54"/>
      <c r="SYK159" s="54"/>
      <c r="SYL159" s="54"/>
      <c r="SYM159" s="58"/>
      <c r="SYN159" s="58"/>
      <c r="SYO159" s="58"/>
      <c r="SYP159" s="58"/>
      <c r="SYQ159" s="59"/>
      <c r="SYR159" s="60"/>
      <c r="SYS159" s="54"/>
      <c r="SYT159" s="54"/>
      <c r="SYU159" s="36"/>
      <c r="SYV159" s="55"/>
      <c r="SYW159" s="54"/>
      <c r="SYX159" s="56"/>
      <c r="SYY159" s="57"/>
      <c r="SYZ159" s="54"/>
      <c r="SZA159" s="54"/>
      <c r="SZB159" s="54"/>
      <c r="SZC159" s="58"/>
      <c r="SZD159" s="58"/>
      <c r="SZE159" s="58"/>
      <c r="SZF159" s="58"/>
      <c r="SZG159" s="59"/>
      <c r="SZH159" s="60"/>
      <c r="SZI159" s="54"/>
      <c r="SZJ159" s="54"/>
      <c r="SZK159" s="36"/>
      <c r="SZL159" s="55"/>
      <c r="SZM159" s="54"/>
      <c r="SZN159" s="56"/>
      <c r="SZO159" s="57"/>
      <c r="SZP159" s="54"/>
      <c r="SZQ159" s="54"/>
      <c r="SZR159" s="54"/>
      <c r="SZS159" s="58"/>
      <c r="SZT159" s="58"/>
      <c r="SZU159" s="58"/>
      <c r="SZV159" s="58"/>
      <c r="SZW159" s="59"/>
      <c r="SZX159" s="60"/>
      <c r="SZY159" s="54"/>
      <c r="SZZ159" s="54"/>
      <c r="TAA159" s="36"/>
      <c r="TAB159" s="55"/>
      <c r="TAC159" s="54"/>
      <c r="TAD159" s="56"/>
      <c r="TAE159" s="57"/>
      <c r="TAF159" s="54"/>
      <c r="TAG159" s="54"/>
      <c r="TAH159" s="54"/>
      <c r="TAI159" s="58"/>
      <c r="TAJ159" s="58"/>
      <c r="TAK159" s="58"/>
      <c r="TAL159" s="58"/>
      <c r="TAM159" s="59"/>
      <c r="TAN159" s="60"/>
      <c r="TAO159" s="54"/>
      <c r="TAP159" s="54"/>
      <c r="TAQ159" s="36"/>
      <c r="TAR159" s="55"/>
      <c r="TAS159" s="54"/>
      <c r="TAT159" s="56"/>
      <c r="TAU159" s="57"/>
      <c r="TAV159" s="54"/>
      <c r="TAW159" s="54"/>
      <c r="TAX159" s="54"/>
      <c r="TAY159" s="58"/>
      <c r="TAZ159" s="58"/>
      <c r="TBA159" s="58"/>
      <c r="TBB159" s="58"/>
      <c r="TBC159" s="59"/>
      <c r="TBD159" s="60"/>
      <c r="TBE159" s="54"/>
      <c r="TBF159" s="54"/>
      <c r="TBG159" s="36"/>
      <c r="TBH159" s="55"/>
      <c r="TBI159" s="54"/>
      <c r="TBJ159" s="56"/>
      <c r="TBK159" s="57"/>
      <c r="TBL159" s="54"/>
      <c r="TBM159" s="54"/>
      <c r="TBN159" s="54"/>
      <c r="TBO159" s="58"/>
      <c r="TBP159" s="58"/>
      <c r="TBQ159" s="58"/>
      <c r="TBR159" s="58"/>
      <c r="TBS159" s="59"/>
      <c r="TBT159" s="60"/>
      <c r="TBU159" s="54"/>
      <c r="TBV159" s="54"/>
      <c r="TBW159" s="36"/>
      <c r="TBX159" s="55"/>
      <c r="TBY159" s="54"/>
      <c r="TBZ159" s="56"/>
      <c r="TCA159" s="57"/>
      <c r="TCB159" s="54"/>
      <c r="TCC159" s="54"/>
      <c r="TCD159" s="54"/>
      <c r="TCE159" s="58"/>
      <c r="TCF159" s="58"/>
      <c r="TCG159" s="58"/>
      <c r="TCH159" s="58"/>
      <c r="TCI159" s="59"/>
      <c r="TCJ159" s="60"/>
      <c r="TCK159" s="54"/>
      <c r="TCL159" s="54"/>
      <c r="TCM159" s="36"/>
      <c r="TCN159" s="55"/>
      <c r="TCO159" s="54"/>
      <c r="TCP159" s="56"/>
      <c r="TCQ159" s="57"/>
      <c r="TCR159" s="54"/>
      <c r="TCS159" s="54"/>
      <c r="TCT159" s="54"/>
      <c r="TCU159" s="58"/>
      <c r="TCV159" s="58"/>
      <c r="TCW159" s="58"/>
      <c r="TCX159" s="58"/>
      <c r="TCY159" s="59"/>
      <c r="TCZ159" s="60"/>
      <c r="TDA159" s="54"/>
      <c r="TDB159" s="54"/>
      <c r="TDC159" s="36"/>
      <c r="TDD159" s="55"/>
      <c r="TDE159" s="54"/>
      <c r="TDF159" s="56"/>
      <c r="TDG159" s="57"/>
      <c r="TDH159" s="54"/>
      <c r="TDI159" s="54"/>
      <c r="TDJ159" s="54"/>
      <c r="TDK159" s="58"/>
      <c r="TDL159" s="58"/>
      <c r="TDM159" s="58"/>
      <c r="TDN159" s="58"/>
      <c r="TDO159" s="59"/>
      <c r="TDP159" s="60"/>
      <c r="TDQ159" s="54"/>
      <c r="TDR159" s="54"/>
      <c r="TDS159" s="36"/>
      <c r="TDT159" s="55"/>
      <c r="TDU159" s="54"/>
      <c r="TDV159" s="56"/>
      <c r="TDW159" s="57"/>
      <c r="TDX159" s="54"/>
      <c r="TDY159" s="54"/>
      <c r="TDZ159" s="54"/>
      <c r="TEA159" s="58"/>
      <c r="TEB159" s="58"/>
      <c r="TEC159" s="58"/>
      <c r="TED159" s="58"/>
      <c r="TEE159" s="59"/>
      <c r="TEF159" s="60"/>
      <c r="TEG159" s="54"/>
      <c r="TEH159" s="54"/>
      <c r="TEI159" s="36"/>
      <c r="TEJ159" s="55"/>
      <c r="TEK159" s="54"/>
      <c r="TEL159" s="56"/>
      <c r="TEM159" s="57"/>
      <c r="TEN159" s="54"/>
      <c r="TEO159" s="54"/>
      <c r="TEP159" s="54"/>
      <c r="TEQ159" s="58"/>
      <c r="TER159" s="58"/>
      <c r="TES159" s="58"/>
      <c r="TET159" s="58"/>
      <c r="TEU159" s="59"/>
      <c r="TEV159" s="60"/>
      <c r="TEW159" s="54"/>
      <c r="TEX159" s="54"/>
      <c r="TEY159" s="36"/>
      <c r="TEZ159" s="55"/>
      <c r="TFA159" s="54"/>
      <c r="TFB159" s="56"/>
      <c r="TFC159" s="57"/>
      <c r="TFD159" s="54"/>
      <c r="TFE159" s="54"/>
      <c r="TFF159" s="54"/>
      <c r="TFG159" s="58"/>
      <c r="TFH159" s="58"/>
      <c r="TFI159" s="58"/>
      <c r="TFJ159" s="58"/>
      <c r="TFK159" s="59"/>
      <c r="TFL159" s="60"/>
      <c r="TFM159" s="54"/>
      <c r="TFN159" s="54"/>
      <c r="TFO159" s="36"/>
      <c r="TFP159" s="55"/>
      <c r="TFQ159" s="54"/>
      <c r="TFR159" s="56"/>
      <c r="TFS159" s="57"/>
      <c r="TFT159" s="54"/>
      <c r="TFU159" s="54"/>
      <c r="TFV159" s="54"/>
      <c r="TFW159" s="58"/>
      <c r="TFX159" s="58"/>
      <c r="TFY159" s="58"/>
      <c r="TFZ159" s="58"/>
      <c r="TGA159" s="59"/>
      <c r="TGB159" s="60"/>
      <c r="TGC159" s="54"/>
      <c r="TGD159" s="54"/>
      <c r="TGE159" s="36"/>
      <c r="TGF159" s="55"/>
      <c r="TGG159" s="54"/>
      <c r="TGH159" s="56"/>
      <c r="TGI159" s="57"/>
      <c r="TGJ159" s="54"/>
      <c r="TGK159" s="54"/>
      <c r="TGL159" s="54"/>
      <c r="TGM159" s="58"/>
      <c r="TGN159" s="58"/>
      <c r="TGO159" s="58"/>
      <c r="TGP159" s="58"/>
      <c r="TGQ159" s="59"/>
      <c r="TGR159" s="60"/>
      <c r="TGS159" s="54"/>
      <c r="TGT159" s="54"/>
      <c r="TGU159" s="36"/>
      <c r="TGV159" s="55"/>
      <c r="TGW159" s="54"/>
      <c r="TGX159" s="56"/>
      <c r="TGY159" s="57"/>
      <c r="TGZ159" s="54"/>
      <c r="THA159" s="54"/>
      <c r="THB159" s="54"/>
      <c r="THC159" s="58"/>
      <c r="THD159" s="58"/>
      <c r="THE159" s="58"/>
      <c r="THF159" s="58"/>
      <c r="THG159" s="59"/>
      <c r="THH159" s="60"/>
      <c r="THI159" s="54"/>
      <c r="THJ159" s="54"/>
      <c r="THK159" s="36"/>
      <c r="THL159" s="55"/>
      <c r="THM159" s="54"/>
      <c r="THN159" s="56"/>
      <c r="THO159" s="57"/>
      <c r="THP159" s="54"/>
      <c r="THQ159" s="54"/>
      <c r="THR159" s="54"/>
      <c r="THS159" s="58"/>
      <c r="THT159" s="58"/>
      <c r="THU159" s="58"/>
      <c r="THV159" s="58"/>
      <c r="THW159" s="59"/>
      <c r="THX159" s="60"/>
      <c r="THY159" s="54"/>
      <c r="THZ159" s="54"/>
      <c r="TIA159" s="36"/>
      <c r="TIB159" s="55"/>
      <c r="TIC159" s="54"/>
      <c r="TID159" s="56"/>
      <c r="TIE159" s="57"/>
      <c r="TIF159" s="54"/>
      <c r="TIG159" s="54"/>
      <c r="TIH159" s="54"/>
      <c r="TII159" s="58"/>
      <c r="TIJ159" s="58"/>
      <c r="TIK159" s="58"/>
      <c r="TIL159" s="58"/>
      <c r="TIM159" s="59"/>
      <c r="TIN159" s="60"/>
      <c r="TIO159" s="54"/>
      <c r="TIP159" s="54"/>
      <c r="TIQ159" s="36"/>
      <c r="TIR159" s="55"/>
      <c r="TIS159" s="54"/>
      <c r="TIT159" s="56"/>
      <c r="TIU159" s="57"/>
      <c r="TIV159" s="54"/>
      <c r="TIW159" s="54"/>
      <c r="TIX159" s="54"/>
      <c r="TIY159" s="58"/>
      <c r="TIZ159" s="58"/>
      <c r="TJA159" s="58"/>
      <c r="TJB159" s="58"/>
      <c r="TJC159" s="59"/>
      <c r="TJD159" s="60"/>
      <c r="TJE159" s="54"/>
      <c r="TJF159" s="54"/>
      <c r="TJG159" s="36"/>
      <c r="TJH159" s="55"/>
      <c r="TJI159" s="54"/>
      <c r="TJJ159" s="56"/>
      <c r="TJK159" s="57"/>
      <c r="TJL159" s="54"/>
      <c r="TJM159" s="54"/>
      <c r="TJN159" s="54"/>
      <c r="TJO159" s="58"/>
      <c r="TJP159" s="58"/>
      <c r="TJQ159" s="58"/>
      <c r="TJR159" s="58"/>
      <c r="TJS159" s="59"/>
      <c r="TJT159" s="60"/>
      <c r="TJU159" s="54"/>
      <c r="TJV159" s="54"/>
      <c r="TJW159" s="36"/>
      <c r="TJX159" s="55"/>
      <c r="TJY159" s="54"/>
      <c r="TJZ159" s="56"/>
      <c r="TKA159" s="57"/>
      <c r="TKB159" s="54"/>
      <c r="TKC159" s="54"/>
      <c r="TKD159" s="54"/>
      <c r="TKE159" s="58"/>
      <c r="TKF159" s="58"/>
      <c r="TKG159" s="58"/>
      <c r="TKH159" s="58"/>
      <c r="TKI159" s="59"/>
      <c r="TKJ159" s="60"/>
      <c r="TKK159" s="54"/>
      <c r="TKL159" s="54"/>
      <c r="TKM159" s="36"/>
      <c r="TKN159" s="55"/>
      <c r="TKO159" s="54"/>
      <c r="TKP159" s="56"/>
      <c r="TKQ159" s="57"/>
      <c r="TKR159" s="54"/>
      <c r="TKS159" s="54"/>
      <c r="TKT159" s="54"/>
      <c r="TKU159" s="58"/>
      <c r="TKV159" s="58"/>
      <c r="TKW159" s="58"/>
      <c r="TKX159" s="58"/>
      <c r="TKY159" s="59"/>
      <c r="TKZ159" s="60"/>
      <c r="TLA159" s="54"/>
      <c r="TLB159" s="54"/>
      <c r="TLC159" s="36"/>
      <c r="TLD159" s="55"/>
      <c r="TLE159" s="54"/>
      <c r="TLF159" s="56"/>
      <c r="TLG159" s="57"/>
      <c r="TLH159" s="54"/>
      <c r="TLI159" s="54"/>
      <c r="TLJ159" s="54"/>
      <c r="TLK159" s="58"/>
      <c r="TLL159" s="58"/>
      <c r="TLM159" s="58"/>
      <c r="TLN159" s="58"/>
      <c r="TLO159" s="59"/>
      <c r="TLP159" s="60"/>
      <c r="TLQ159" s="54"/>
      <c r="TLR159" s="54"/>
      <c r="TLS159" s="36"/>
      <c r="TLT159" s="55"/>
      <c r="TLU159" s="54"/>
      <c r="TLV159" s="56"/>
      <c r="TLW159" s="57"/>
      <c r="TLX159" s="54"/>
      <c r="TLY159" s="54"/>
      <c r="TLZ159" s="54"/>
      <c r="TMA159" s="58"/>
      <c r="TMB159" s="58"/>
      <c r="TMC159" s="58"/>
      <c r="TMD159" s="58"/>
      <c r="TME159" s="59"/>
      <c r="TMF159" s="60"/>
      <c r="TMG159" s="54"/>
      <c r="TMH159" s="54"/>
      <c r="TMI159" s="36"/>
      <c r="TMJ159" s="55"/>
      <c r="TMK159" s="54"/>
      <c r="TML159" s="56"/>
      <c r="TMM159" s="57"/>
      <c r="TMN159" s="54"/>
      <c r="TMO159" s="54"/>
      <c r="TMP159" s="54"/>
      <c r="TMQ159" s="58"/>
      <c r="TMR159" s="58"/>
      <c r="TMS159" s="58"/>
      <c r="TMT159" s="58"/>
      <c r="TMU159" s="59"/>
      <c r="TMV159" s="60"/>
      <c r="TMW159" s="54"/>
      <c r="TMX159" s="54"/>
      <c r="TMY159" s="36"/>
      <c r="TMZ159" s="55"/>
      <c r="TNA159" s="54"/>
      <c r="TNB159" s="56"/>
      <c r="TNC159" s="57"/>
      <c r="TND159" s="54"/>
      <c r="TNE159" s="54"/>
      <c r="TNF159" s="54"/>
      <c r="TNG159" s="58"/>
      <c r="TNH159" s="58"/>
      <c r="TNI159" s="58"/>
      <c r="TNJ159" s="58"/>
      <c r="TNK159" s="59"/>
      <c r="TNL159" s="60"/>
      <c r="TNM159" s="54"/>
      <c r="TNN159" s="54"/>
      <c r="TNO159" s="36"/>
      <c r="TNP159" s="55"/>
      <c r="TNQ159" s="54"/>
      <c r="TNR159" s="56"/>
      <c r="TNS159" s="57"/>
      <c r="TNT159" s="54"/>
      <c r="TNU159" s="54"/>
      <c r="TNV159" s="54"/>
      <c r="TNW159" s="58"/>
      <c r="TNX159" s="58"/>
      <c r="TNY159" s="58"/>
      <c r="TNZ159" s="58"/>
      <c r="TOA159" s="59"/>
      <c r="TOB159" s="60"/>
      <c r="TOC159" s="54"/>
      <c r="TOD159" s="54"/>
      <c r="TOE159" s="36"/>
      <c r="TOF159" s="55"/>
      <c r="TOG159" s="54"/>
      <c r="TOH159" s="56"/>
      <c r="TOI159" s="57"/>
      <c r="TOJ159" s="54"/>
      <c r="TOK159" s="54"/>
      <c r="TOL159" s="54"/>
      <c r="TOM159" s="58"/>
      <c r="TON159" s="58"/>
      <c r="TOO159" s="58"/>
      <c r="TOP159" s="58"/>
      <c r="TOQ159" s="59"/>
      <c r="TOR159" s="60"/>
      <c r="TOS159" s="54"/>
      <c r="TOT159" s="54"/>
      <c r="TOU159" s="36"/>
      <c r="TOV159" s="55"/>
      <c r="TOW159" s="54"/>
      <c r="TOX159" s="56"/>
      <c r="TOY159" s="57"/>
      <c r="TOZ159" s="54"/>
      <c r="TPA159" s="54"/>
      <c r="TPB159" s="54"/>
      <c r="TPC159" s="58"/>
      <c r="TPD159" s="58"/>
      <c r="TPE159" s="58"/>
      <c r="TPF159" s="58"/>
      <c r="TPG159" s="59"/>
      <c r="TPH159" s="60"/>
      <c r="TPI159" s="54"/>
      <c r="TPJ159" s="54"/>
      <c r="TPK159" s="36"/>
      <c r="TPL159" s="55"/>
      <c r="TPM159" s="54"/>
      <c r="TPN159" s="56"/>
      <c r="TPO159" s="57"/>
      <c r="TPP159" s="54"/>
      <c r="TPQ159" s="54"/>
      <c r="TPR159" s="54"/>
      <c r="TPS159" s="58"/>
      <c r="TPT159" s="58"/>
      <c r="TPU159" s="58"/>
      <c r="TPV159" s="58"/>
      <c r="TPW159" s="59"/>
      <c r="TPX159" s="60"/>
      <c r="TPY159" s="54"/>
      <c r="TPZ159" s="54"/>
      <c r="TQA159" s="36"/>
      <c r="TQB159" s="55"/>
      <c r="TQC159" s="54"/>
      <c r="TQD159" s="56"/>
      <c r="TQE159" s="57"/>
      <c r="TQF159" s="54"/>
      <c r="TQG159" s="54"/>
      <c r="TQH159" s="54"/>
      <c r="TQI159" s="58"/>
      <c r="TQJ159" s="58"/>
      <c r="TQK159" s="58"/>
      <c r="TQL159" s="58"/>
      <c r="TQM159" s="59"/>
      <c r="TQN159" s="60"/>
      <c r="TQO159" s="54"/>
      <c r="TQP159" s="54"/>
      <c r="TQQ159" s="36"/>
      <c r="TQR159" s="55"/>
      <c r="TQS159" s="54"/>
      <c r="TQT159" s="56"/>
      <c r="TQU159" s="57"/>
      <c r="TQV159" s="54"/>
      <c r="TQW159" s="54"/>
      <c r="TQX159" s="54"/>
      <c r="TQY159" s="58"/>
      <c r="TQZ159" s="58"/>
      <c r="TRA159" s="58"/>
      <c r="TRB159" s="58"/>
      <c r="TRC159" s="59"/>
      <c r="TRD159" s="60"/>
      <c r="TRE159" s="54"/>
      <c r="TRF159" s="54"/>
      <c r="TRG159" s="36"/>
      <c r="TRH159" s="55"/>
      <c r="TRI159" s="54"/>
      <c r="TRJ159" s="56"/>
      <c r="TRK159" s="57"/>
      <c r="TRL159" s="54"/>
      <c r="TRM159" s="54"/>
      <c r="TRN159" s="54"/>
      <c r="TRO159" s="58"/>
      <c r="TRP159" s="58"/>
      <c r="TRQ159" s="58"/>
      <c r="TRR159" s="58"/>
      <c r="TRS159" s="59"/>
      <c r="TRT159" s="60"/>
      <c r="TRU159" s="54"/>
      <c r="TRV159" s="54"/>
      <c r="TRW159" s="36"/>
      <c r="TRX159" s="55"/>
      <c r="TRY159" s="54"/>
      <c r="TRZ159" s="56"/>
      <c r="TSA159" s="57"/>
      <c r="TSB159" s="54"/>
      <c r="TSC159" s="54"/>
      <c r="TSD159" s="54"/>
      <c r="TSE159" s="58"/>
      <c r="TSF159" s="58"/>
      <c r="TSG159" s="58"/>
      <c r="TSH159" s="58"/>
      <c r="TSI159" s="59"/>
      <c r="TSJ159" s="60"/>
      <c r="TSK159" s="54"/>
      <c r="TSL159" s="54"/>
      <c r="TSM159" s="36"/>
      <c r="TSN159" s="55"/>
      <c r="TSO159" s="54"/>
      <c r="TSP159" s="56"/>
      <c r="TSQ159" s="57"/>
      <c r="TSR159" s="54"/>
      <c r="TSS159" s="54"/>
      <c r="TST159" s="54"/>
      <c r="TSU159" s="58"/>
      <c r="TSV159" s="58"/>
      <c r="TSW159" s="58"/>
      <c r="TSX159" s="58"/>
      <c r="TSY159" s="59"/>
      <c r="TSZ159" s="60"/>
      <c r="TTA159" s="54"/>
      <c r="TTB159" s="54"/>
      <c r="TTC159" s="36"/>
      <c r="TTD159" s="55"/>
      <c r="TTE159" s="54"/>
      <c r="TTF159" s="56"/>
      <c r="TTG159" s="57"/>
      <c r="TTH159" s="54"/>
      <c r="TTI159" s="54"/>
      <c r="TTJ159" s="54"/>
      <c r="TTK159" s="58"/>
      <c r="TTL159" s="58"/>
      <c r="TTM159" s="58"/>
      <c r="TTN159" s="58"/>
      <c r="TTO159" s="59"/>
      <c r="TTP159" s="60"/>
      <c r="TTQ159" s="54"/>
      <c r="TTR159" s="54"/>
      <c r="TTS159" s="36"/>
      <c r="TTT159" s="55"/>
      <c r="TTU159" s="54"/>
      <c r="TTV159" s="56"/>
      <c r="TTW159" s="57"/>
      <c r="TTX159" s="54"/>
      <c r="TTY159" s="54"/>
      <c r="TTZ159" s="54"/>
      <c r="TUA159" s="58"/>
      <c r="TUB159" s="58"/>
      <c r="TUC159" s="58"/>
      <c r="TUD159" s="58"/>
      <c r="TUE159" s="59"/>
      <c r="TUF159" s="60"/>
      <c r="TUG159" s="54"/>
      <c r="TUH159" s="54"/>
      <c r="TUI159" s="36"/>
      <c r="TUJ159" s="55"/>
      <c r="TUK159" s="54"/>
      <c r="TUL159" s="56"/>
      <c r="TUM159" s="57"/>
      <c r="TUN159" s="54"/>
      <c r="TUO159" s="54"/>
      <c r="TUP159" s="54"/>
      <c r="TUQ159" s="58"/>
      <c r="TUR159" s="58"/>
      <c r="TUS159" s="58"/>
      <c r="TUT159" s="58"/>
      <c r="TUU159" s="59"/>
      <c r="TUV159" s="60"/>
      <c r="TUW159" s="54"/>
      <c r="TUX159" s="54"/>
      <c r="TUY159" s="36"/>
      <c r="TUZ159" s="55"/>
      <c r="TVA159" s="54"/>
      <c r="TVB159" s="56"/>
      <c r="TVC159" s="57"/>
      <c r="TVD159" s="54"/>
      <c r="TVE159" s="54"/>
      <c r="TVF159" s="54"/>
      <c r="TVG159" s="58"/>
      <c r="TVH159" s="58"/>
      <c r="TVI159" s="58"/>
      <c r="TVJ159" s="58"/>
      <c r="TVK159" s="59"/>
      <c r="TVL159" s="60"/>
      <c r="TVM159" s="54"/>
      <c r="TVN159" s="54"/>
      <c r="TVO159" s="36"/>
      <c r="TVP159" s="55"/>
      <c r="TVQ159" s="54"/>
      <c r="TVR159" s="56"/>
      <c r="TVS159" s="57"/>
      <c r="TVT159" s="54"/>
      <c r="TVU159" s="54"/>
      <c r="TVV159" s="54"/>
      <c r="TVW159" s="58"/>
      <c r="TVX159" s="58"/>
      <c r="TVY159" s="58"/>
      <c r="TVZ159" s="58"/>
      <c r="TWA159" s="59"/>
      <c r="TWB159" s="60"/>
      <c r="TWC159" s="54"/>
      <c r="TWD159" s="54"/>
      <c r="TWE159" s="36"/>
      <c r="TWF159" s="55"/>
      <c r="TWG159" s="54"/>
      <c r="TWH159" s="56"/>
      <c r="TWI159" s="57"/>
      <c r="TWJ159" s="54"/>
      <c r="TWK159" s="54"/>
      <c r="TWL159" s="54"/>
      <c r="TWM159" s="58"/>
      <c r="TWN159" s="58"/>
      <c r="TWO159" s="58"/>
      <c r="TWP159" s="58"/>
      <c r="TWQ159" s="59"/>
      <c r="TWR159" s="60"/>
      <c r="TWS159" s="54"/>
      <c r="TWT159" s="54"/>
      <c r="TWU159" s="36"/>
      <c r="TWV159" s="55"/>
      <c r="TWW159" s="54"/>
      <c r="TWX159" s="56"/>
      <c r="TWY159" s="57"/>
      <c r="TWZ159" s="54"/>
      <c r="TXA159" s="54"/>
      <c r="TXB159" s="54"/>
      <c r="TXC159" s="58"/>
      <c r="TXD159" s="58"/>
      <c r="TXE159" s="58"/>
      <c r="TXF159" s="58"/>
      <c r="TXG159" s="59"/>
      <c r="TXH159" s="60"/>
      <c r="TXI159" s="54"/>
      <c r="TXJ159" s="54"/>
      <c r="TXK159" s="36"/>
      <c r="TXL159" s="55"/>
      <c r="TXM159" s="54"/>
      <c r="TXN159" s="56"/>
      <c r="TXO159" s="57"/>
      <c r="TXP159" s="54"/>
      <c r="TXQ159" s="54"/>
      <c r="TXR159" s="54"/>
      <c r="TXS159" s="58"/>
      <c r="TXT159" s="58"/>
      <c r="TXU159" s="58"/>
      <c r="TXV159" s="58"/>
      <c r="TXW159" s="59"/>
      <c r="TXX159" s="60"/>
      <c r="TXY159" s="54"/>
      <c r="TXZ159" s="54"/>
      <c r="TYA159" s="36"/>
      <c r="TYB159" s="55"/>
      <c r="TYC159" s="54"/>
      <c r="TYD159" s="56"/>
      <c r="TYE159" s="57"/>
      <c r="TYF159" s="54"/>
      <c r="TYG159" s="54"/>
      <c r="TYH159" s="54"/>
      <c r="TYI159" s="58"/>
      <c r="TYJ159" s="58"/>
      <c r="TYK159" s="58"/>
      <c r="TYL159" s="58"/>
      <c r="TYM159" s="59"/>
      <c r="TYN159" s="60"/>
      <c r="TYO159" s="54"/>
      <c r="TYP159" s="54"/>
      <c r="TYQ159" s="36"/>
      <c r="TYR159" s="55"/>
      <c r="TYS159" s="54"/>
      <c r="TYT159" s="56"/>
      <c r="TYU159" s="57"/>
      <c r="TYV159" s="54"/>
      <c r="TYW159" s="54"/>
      <c r="TYX159" s="54"/>
      <c r="TYY159" s="58"/>
      <c r="TYZ159" s="58"/>
      <c r="TZA159" s="58"/>
      <c r="TZB159" s="58"/>
      <c r="TZC159" s="59"/>
      <c r="TZD159" s="60"/>
      <c r="TZE159" s="54"/>
      <c r="TZF159" s="54"/>
      <c r="TZG159" s="36"/>
      <c r="TZH159" s="55"/>
      <c r="TZI159" s="54"/>
      <c r="TZJ159" s="56"/>
      <c r="TZK159" s="57"/>
      <c r="TZL159" s="54"/>
      <c r="TZM159" s="54"/>
      <c r="TZN159" s="54"/>
      <c r="TZO159" s="58"/>
      <c r="TZP159" s="58"/>
      <c r="TZQ159" s="58"/>
      <c r="TZR159" s="58"/>
      <c r="TZS159" s="59"/>
      <c r="TZT159" s="60"/>
      <c r="TZU159" s="54"/>
      <c r="TZV159" s="54"/>
      <c r="TZW159" s="36"/>
      <c r="TZX159" s="55"/>
      <c r="TZY159" s="54"/>
      <c r="TZZ159" s="56"/>
      <c r="UAA159" s="57"/>
      <c r="UAB159" s="54"/>
      <c r="UAC159" s="54"/>
      <c r="UAD159" s="54"/>
      <c r="UAE159" s="58"/>
      <c r="UAF159" s="58"/>
      <c r="UAG159" s="58"/>
      <c r="UAH159" s="58"/>
      <c r="UAI159" s="59"/>
      <c r="UAJ159" s="60"/>
      <c r="UAK159" s="54"/>
      <c r="UAL159" s="54"/>
      <c r="UAM159" s="36"/>
      <c r="UAN159" s="55"/>
      <c r="UAO159" s="54"/>
      <c r="UAP159" s="56"/>
      <c r="UAQ159" s="57"/>
      <c r="UAR159" s="54"/>
      <c r="UAS159" s="54"/>
      <c r="UAT159" s="54"/>
      <c r="UAU159" s="58"/>
      <c r="UAV159" s="58"/>
      <c r="UAW159" s="58"/>
      <c r="UAX159" s="58"/>
      <c r="UAY159" s="59"/>
      <c r="UAZ159" s="60"/>
      <c r="UBA159" s="54"/>
      <c r="UBB159" s="54"/>
      <c r="UBC159" s="36"/>
      <c r="UBD159" s="55"/>
      <c r="UBE159" s="54"/>
      <c r="UBF159" s="56"/>
      <c r="UBG159" s="57"/>
      <c r="UBH159" s="54"/>
      <c r="UBI159" s="54"/>
      <c r="UBJ159" s="54"/>
      <c r="UBK159" s="58"/>
      <c r="UBL159" s="58"/>
      <c r="UBM159" s="58"/>
      <c r="UBN159" s="58"/>
      <c r="UBO159" s="59"/>
      <c r="UBP159" s="60"/>
      <c r="UBQ159" s="54"/>
      <c r="UBR159" s="54"/>
      <c r="UBS159" s="36"/>
      <c r="UBT159" s="55"/>
      <c r="UBU159" s="54"/>
      <c r="UBV159" s="56"/>
      <c r="UBW159" s="57"/>
      <c r="UBX159" s="54"/>
      <c r="UBY159" s="54"/>
      <c r="UBZ159" s="54"/>
      <c r="UCA159" s="58"/>
      <c r="UCB159" s="58"/>
      <c r="UCC159" s="58"/>
      <c r="UCD159" s="58"/>
      <c r="UCE159" s="59"/>
      <c r="UCF159" s="60"/>
      <c r="UCG159" s="54"/>
      <c r="UCH159" s="54"/>
      <c r="UCI159" s="36"/>
      <c r="UCJ159" s="55"/>
      <c r="UCK159" s="54"/>
      <c r="UCL159" s="56"/>
      <c r="UCM159" s="57"/>
      <c r="UCN159" s="54"/>
      <c r="UCO159" s="54"/>
      <c r="UCP159" s="54"/>
      <c r="UCQ159" s="58"/>
      <c r="UCR159" s="58"/>
      <c r="UCS159" s="58"/>
      <c r="UCT159" s="58"/>
      <c r="UCU159" s="59"/>
      <c r="UCV159" s="60"/>
      <c r="UCW159" s="54"/>
      <c r="UCX159" s="54"/>
      <c r="UCY159" s="36"/>
      <c r="UCZ159" s="55"/>
      <c r="UDA159" s="54"/>
      <c r="UDB159" s="56"/>
      <c r="UDC159" s="57"/>
      <c r="UDD159" s="54"/>
      <c r="UDE159" s="54"/>
      <c r="UDF159" s="54"/>
      <c r="UDG159" s="58"/>
      <c r="UDH159" s="58"/>
      <c r="UDI159" s="58"/>
      <c r="UDJ159" s="58"/>
      <c r="UDK159" s="59"/>
      <c r="UDL159" s="60"/>
      <c r="UDM159" s="54"/>
      <c r="UDN159" s="54"/>
      <c r="UDO159" s="36"/>
      <c r="UDP159" s="55"/>
      <c r="UDQ159" s="54"/>
      <c r="UDR159" s="56"/>
      <c r="UDS159" s="57"/>
      <c r="UDT159" s="54"/>
      <c r="UDU159" s="54"/>
      <c r="UDV159" s="54"/>
      <c r="UDW159" s="58"/>
      <c r="UDX159" s="58"/>
      <c r="UDY159" s="58"/>
      <c r="UDZ159" s="58"/>
      <c r="UEA159" s="59"/>
      <c r="UEB159" s="60"/>
      <c r="UEC159" s="54"/>
      <c r="UED159" s="54"/>
      <c r="UEE159" s="36"/>
      <c r="UEF159" s="55"/>
      <c r="UEG159" s="54"/>
      <c r="UEH159" s="56"/>
      <c r="UEI159" s="57"/>
      <c r="UEJ159" s="54"/>
      <c r="UEK159" s="54"/>
      <c r="UEL159" s="54"/>
      <c r="UEM159" s="58"/>
      <c r="UEN159" s="58"/>
      <c r="UEO159" s="58"/>
      <c r="UEP159" s="58"/>
      <c r="UEQ159" s="59"/>
      <c r="UER159" s="60"/>
      <c r="UES159" s="54"/>
      <c r="UET159" s="54"/>
      <c r="UEU159" s="36"/>
      <c r="UEV159" s="55"/>
      <c r="UEW159" s="54"/>
      <c r="UEX159" s="56"/>
      <c r="UEY159" s="57"/>
      <c r="UEZ159" s="54"/>
      <c r="UFA159" s="54"/>
      <c r="UFB159" s="54"/>
      <c r="UFC159" s="58"/>
      <c r="UFD159" s="58"/>
      <c r="UFE159" s="58"/>
      <c r="UFF159" s="58"/>
      <c r="UFG159" s="59"/>
      <c r="UFH159" s="60"/>
      <c r="UFI159" s="54"/>
      <c r="UFJ159" s="54"/>
      <c r="UFK159" s="36"/>
      <c r="UFL159" s="55"/>
      <c r="UFM159" s="54"/>
      <c r="UFN159" s="56"/>
      <c r="UFO159" s="57"/>
      <c r="UFP159" s="54"/>
      <c r="UFQ159" s="54"/>
      <c r="UFR159" s="54"/>
      <c r="UFS159" s="58"/>
      <c r="UFT159" s="58"/>
      <c r="UFU159" s="58"/>
      <c r="UFV159" s="58"/>
      <c r="UFW159" s="59"/>
      <c r="UFX159" s="60"/>
      <c r="UFY159" s="54"/>
      <c r="UFZ159" s="54"/>
      <c r="UGA159" s="36"/>
      <c r="UGB159" s="55"/>
      <c r="UGC159" s="54"/>
      <c r="UGD159" s="56"/>
      <c r="UGE159" s="57"/>
      <c r="UGF159" s="54"/>
      <c r="UGG159" s="54"/>
      <c r="UGH159" s="54"/>
      <c r="UGI159" s="58"/>
      <c r="UGJ159" s="58"/>
      <c r="UGK159" s="58"/>
      <c r="UGL159" s="58"/>
      <c r="UGM159" s="59"/>
      <c r="UGN159" s="60"/>
      <c r="UGO159" s="54"/>
      <c r="UGP159" s="54"/>
      <c r="UGQ159" s="36"/>
      <c r="UGR159" s="55"/>
      <c r="UGS159" s="54"/>
      <c r="UGT159" s="56"/>
      <c r="UGU159" s="57"/>
      <c r="UGV159" s="54"/>
      <c r="UGW159" s="54"/>
      <c r="UGX159" s="54"/>
      <c r="UGY159" s="58"/>
      <c r="UGZ159" s="58"/>
      <c r="UHA159" s="58"/>
      <c r="UHB159" s="58"/>
      <c r="UHC159" s="59"/>
      <c r="UHD159" s="60"/>
      <c r="UHE159" s="54"/>
      <c r="UHF159" s="54"/>
      <c r="UHG159" s="36"/>
      <c r="UHH159" s="55"/>
      <c r="UHI159" s="54"/>
      <c r="UHJ159" s="56"/>
      <c r="UHK159" s="57"/>
      <c r="UHL159" s="54"/>
      <c r="UHM159" s="54"/>
      <c r="UHN159" s="54"/>
      <c r="UHO159" s="58"/>
      <c r="UHP159" s="58"/>
      <c r="UHQ159" s="58"/>
      <c r="UHR159" s="58"/>
      <c r="UHS159" s="59"/>
      <c r="UHT159" s="60"/>
      <c r="UHU159" s="54"/>
      <c r="UHV159" s="54"/>
      <c r="UHW159" s="36"/>
      <c r="UHX159" s="55"/>
      <c r="UHY159" s="54"/>
      <c r="UHZ159" s="56"/>
      <c r="UIA159" s="57"/>
      <c r="UIB159" s="54"/>
      <c r="UIC159" s="54"/>
      <c r="UID159" s="54"/>
      <c r="UIE159" s="58"/>
      <c r="UIF159" s="58"/>
      <c r="UIG159" s="58"/>
      <c r="UIH159" s="58"/>
      <c r="UII159" s="59"/>
      <c r="UIJ159" s="60"/>
      <c r="UIK159" s="54"/>
      <c r="UIL159" s="54"/>
      <c r="UIM159" s="36"/>
      <c r="UIN159" s="55"/>
      <c r="UIO159" s="54"/>
      <c r="UIP159" s="56"/>
      <c r="UIQ159" s="57"/>
      <c r="UIR159" s="54"/>
      <c r="UIS159" s="54"/>
      <c r="UIT159" s="54"/>
      <c r="UIU159" s="58"/>
      <c r="UIV159" s="58"/>
      <c r="UIW159" s="58"/>
      <c r="UIX159" s="58"/>
      <c r="UIY159" s="59"/>
      <c r="UIZ159" s="60"/>
      <c r="UJA159" s="54"/>
      <c r="UJB159" s="54"/>
      <c r="UJC159" s="36"/>
      <c r="UJD159" s="55"/>
      <c r="UJE159" s="54"/>
      <c r="UJF159" s="56"/>
      <c r="UJG159" s="57"/>
      <c r="UJH159" s="54"/>
      <c r="UJI159" s="54"/>
      <c r="UJJ159" s="54"/>
      <c r="UJK159" s="58"/>
      <c r="UJL159" s="58"/>
      <c r="UJM159" s="58"/>
      <c r="UJN159" s="58"/>
      <c r="UJO159" s="59"/>
      <c r="UJP159" s="60"/>
      <c r="UJQ159" s="54"/>
      <c r="UJR159" s="54"/>
      <c r="UJS159" s="36"/>
      <c r="UJT159" s="55"/>
      <c r="UJU159" s="54"/>
      <c r="UJV159" s="56"/>
      <c r="UJW159" s="57"/>
      <c r="UJX159" s="54"/>
      <c r="UJY159" s="54"/>
      <c r="UJZ159" s="54"/>
      <c r="UKA159" s="58"/>
      <c r="UKB159" s="58"/>
      <c r="UKC159" s="58"/>
      <c r="UKD159" s="58"/>
      <c r="UKE159" s="59"/>
      <c r="UKF159" s="60"/>
      <c r="UKG159" s="54"/>
      <c r="UKH159" s="54"/>
      <c r="UKI159" s="36"/>
      <c r="UKJ159" s="55"/>
      <c r="UKK159" s="54"/>
      <c r="UKL159" s="56"/>
      <c r="UKM159" s="57"/>
      <c r="UKN159" s="54"/>
      <c r="UKO159" s="54"/>
      <c r="UKP159" s="54"/>
      <c r="UKQ159" s="58"/>
      <c r="UKR159" s="58"/>
      <c r="UKS159" s="58"/>
      <c r="UKT159" s="58"/>
      <c r="UKU159" s="59"/>
      <c r="UKV159" s="60"/>
      <c r="UKW159" s="54"/>
      <c r="UKX159" s="54"/>
      <c r="UKY159" s="36"/>
      <c r="UKZ159" s="55"/>
      <c r="ULA159" s="54"/>
      <c r="ULB159" s="56"/>
      <c r="ULC159" s="57"/>
      <c r="ULD159" s="54"/>
      <c r="ULE159" s="54"/>
      <c r="ULF159" s="54"/>
      <c r="ULG159" s="58"/>
      <c r="ULH159" s="58"/>
      <c r="ULI159" s="58"/>
      <c r="ULJ159" s="58"/>
      <c r="ULK159" s="59"/>
      <c r="ULL159" s="60"/>
      <c r="ULM159" s="54"/>
      <c r="ULN159" s="54"/>
      <c r="ULO159" s="36"/>
      <c r="ULP159" s="55"/>
      <c r="ULQ159" s="54"/>
      <c r="ULR159" s="56"/>
      <c r="ULS159" s="57"/>
      <c r="ULT159" s="54"/>
      <c r="ULU159" s="54"/>
      <c r="ULV159" s="54"/>
      <c r="ULW159" s="58"/>
      <c r="ULX159" s="58"/>
      <c r="ULY159" s="58"/>
      <c r="ULZ159" s="58"/>
      <c r="UMA159" s="59"/>
      <c r="UMB159" s="60"/>
      <c r="UMC159" s="54"/>
      <c r="UMD159" s="54"/>
      <c r="UME159" s="36"/>
      <c r="UMF159" s="55"/>
      <c r="UMG159" s="54"/>
      <c r="UMH159" s="56"/>
      <c r="UMI159" s="57"/>
      <c r="UMJ159" s="54"/>
      <c r="UMK159" s="54"/>
      <c r="UML159" s="54"/>
      <c r="UMM159" s="58"/>
      <c r="UMN159" s="58"/>
      <c r="UMO159" s="58"/>
      <c r="UMP159" s="58"/>
      <c r="UMQ159" s="59"/>
      <c r="UMR159" s="60"/>
      <c r="UMS159" s="54"/>
      <c r="UMT159" s="54"/>
      <c r="UMU159" s="36"/>
      <c r="UMV159" s="55"/>
      <c r="UMW159" s="54"/>
      <c r="UMX159" s="56"/>
      <c r="UMY159" s="57"/>
      <c r="UMZ159" s="54"/>
      <c r="UNA159" s="54"/>
      <c r="UNB159" s="54"/>
      <c r="UNC159" s="58"/>
      <c r="UND159" s="58"/>
      <c r="UNE159" s="58"/>
      <c r="UNF159" s="58"/>
      <c r="UNG159" s="59"/>
      <c r="UNH159" s="60"/>
      <c r="UNI159" s="54"/>
      <c r="UNJ159" s="54"/>
      <c r="UNK159" s="36"/>
      <c r="UNL159" s="55"/>
      <c r="UNM159" s="54"/>
      <c r="UNN159" s="56"/>
      <c r="UNO159" s="57"/>
      <c r="UNP159" s="54"/>
      <c r="UNQ159" s="54"/>
      <c r="UNR159" s="54"/>
      <c r="UNS159" s="58"/>
      <c r="UNT159" s="58"/>
      <c r="UNU159" s="58"/>
      <c r="UNV159" s="58"/>
      <c r="UNW159" s="59"/>
      <c r="UNX159" s="60"/>
      <c r="UNY159" s="54"/>
      <c r="UNZ159" s="54"/>
      <c r="UOA159" s="36"/>
      <c r="UOB159" s="55"/>
      <c r="UOC159" s="54"/>
      <c r="UOD159" s="56"/>
      <c r="UOE159" s="57"/>
      <c r="UOF159" s="54"/>
      <c r="UOG159" s="54"/>
      <c r="UOH159" s="54"/>
      <c r="UOI159" s="58"/>
      <c r="UOJ159" s="58"/>
      <c r="UOK159" s="58"/>
      <c r="UOL159" s="58"/>
      <c r="UOM159" s="59"/>
      <c r="UON159" s="60"/>
      <c r="UOO159" s="54"/>
      <c r="UOP159" s="54"/>
      <c r="UOQ159" s="36"/>
      <c r="UOR159" s="55"/>
      <c r="UOS159" s="54"/>
      <c r="UOT159" s="56"/>
      <c r="UOU159" s="57"/>
      <c r="UOV159" s="54"/>
      <c r="UOW159" s="54"/>
      <c r="UOX159" s="54"/>
      <c r="UOY159" s="58"/>
      <c r="UOZ159" s="58"/>
      <c r="UPA159" s="58"/>
      <c r="UPB159" s="58"/>
      <c r="UPC159" s="59"/>
      <c r="UPD159" s="60"/>
      <c r="UPE159" s="54"/>
      <c r="UPF159" s="54"/>
      <c r="UPG159" s="36"/>
      <c r="UPH159" s="55"/>
      <c r="UPI159" s="54"/>
      <c r="UPJ159" s="56"/>
      <c r="UPK159" s="57"/>
      <c r="UPL159" s="54"/>
      <c r="UPM159" s="54"/>
      <c r="UPN159" s="54"/>
      <c r="UPO159" s="58"/>
      <c r="UPP159" s="58"/>
      <c r="UPQ159" s="58"/>
      <c r="UPR159" s="58"/>
      <c r="UPS159" s="59"/>
      <c r="UPT159" s="60"/>
      <c r="UPU159" s="54"/>
      <c r="UPV159" s="54"/>
      <c r="UPW159" s="36"/>
      <c r="UPX159" s="55"/>
      <c r="UPY159" s="54"/>
      <c r="UPZ159" s="56"/>
      <c r="UQA159" s="57"/>
      <c r="UQB159" s="54"/>
      <c r="UQC159" s="54"/>
      <c r="UQD159" s="54"/>
      <c r="UQE159" s="58"/>
      <c r="UQF159" s="58"/>
      <c r="UQG159" s="58"/>
      <c r="UQH159" s="58"/>
      <c r="UQI159" s="59"/>
      <c r="UQJ159" s="60"/>
      <c r="UQK159" s="54"/>
      <c r="UQL159" s="54"/>
      <c r="UQM159" s="36"/>
      <c r="UQN159" s="55"/>
      <c r="UQO159" s="54"/>
      <c r="UQP159" s="56"/>
      <c r="UQQ159" s="57"/>
      <c r="UQR159" s="54"/>
      <c r="UQS159" s="54"/>
      <c r="UQT159" s="54"/>
      <c r="UQU159" s="58"/>
      <c r="UQV159" s="58"/>
      <c r="UQW159" s="58"/>
      <c r="UQX159" s="58"/>
      <c r="UQY159" s="59"/>
      <c r="UQZ159" s="60"/>
      <c r="URA159" s="54"/>
      <c r="URB159" s="54"/>
      <c r="URC159" s="36"/>
      <c r="URD159" s="55"/>
      <c r="URE159" s="54"/>
      <c r="URF159" s="56"/>
      <c r="URG159" s="57"/>
      <c r="URH159" s="54"/>
      <c r="URI159" s="54"/>
      <c r="URJ159" s="54"/>
      <c r="URK159" s="58"/>
      <c r="URL159" s="58"/>
      <c r="URM159" s="58"/>
      <c r="URN159" s="58"/>
      <c r="URO159" s="59"/>
      <c r="URP159" s="60"/>
      <c r="URQ159" s="54"/>
      <c r="URR159" s="54"/>
      <c r="URS159" s="36"/>
      <c r="URT159" s="55"/>
      <c r="URU159" s="54"/>
      <c r="URV159" s="56"/>
      <c r="URW159" s="57"/>
      <c r="URX159" s="54"/>
      <c r="URY159" s="54"/>
      <c r="URZ159" s="54"/>
      <c r="USA159" s="58"/>
      <c r="USB159" s="58"/>
      <c r="USC159" s="58"/>
      <c r="USD159" s="58"/>
      <c r="USE159" s="59"/>
      <c r="USF159" s="60"/>
      <c r="USG159" s="54"/>
      <c r="USH159" s="54"/>
      <c r="USI159" s="36"/>
      <c r="USJ159" s="55"/>
      <c r="USK159" s="54"/>
      <c r="USL159" s="56"/>
      <c r="USM159" s="57"/>
      <c r="USN159" s="54"/>
      <c r="USO159" s="54"/>
      <c r="USP159" s="54"/>
      <c r="USQ159" s="58"/>
      <c r="USR159" s="58"/>
      <c r="USS159" s="58"/>
      <c r="UST159" s="58"/>
      <c r="USU159" s="59"/>
      <c r="USV159" s="60"/>
      <c r="USW159" s="54"/>
      <c r="USX159" s="54"/>
      <c r="USY159" s="36"/>
      <c r="USZ159" s="55"/>
      <c r="UTA159" s="54"/>
      <c r="UTB159" s="56"/>
      <c r="UTC159" s="57"/>
      <c r="UTD159" s="54"/>
      <c r="UTE159" s="54"/>
      <c r="UTF159" s="54"/>
      <c r="UTG159" s="58"/>
      <c r="UTH159" s="58"/>
      <c r="UTI159" s="58"/>
      <c r="UTJ159" s="58"/>
      <c r="UTK159" s="59"/>
      <c r="UTL159" s="60"/>
      <c r="UTM159" s="54"/>
      <c r="UTN159" s="54"/>
      <c r="UTO159" s="36"/>
      <c r="UTP159" s="55"/>
      <c r="UTQ159" s="54"/>
      <c r="UTR159" s="56"/>
      <c r="UTS159" s="57"/>
      <c r="UTT159" s="54"/>
      <c r="UTU159" s="54"/>
      <c r="UTV159" s="54"/>
      <c r="UTW159" s="58"/>
      <c r="UTX159" s="58"/>
      <c r="UTY159" s="58"/>
      <c r="UTZ159" s="58"/>
      <c r="UUA159" s="59"/>
      <c r="UUB159" s="60"/>
      <c r="UUC159" s="54"/>
      <c r="UUD159" s="54"/>
      <c r="UUE159" s="36"/>
      <c r="UUF159" s="55"/>
      <c r="UUG159" s="54"/>
      <c r="UUH159" s="56"/>
      <c r="UUI159" s="57"/>
      <c r="UUJ159" s="54"/>
      <c r="UUK159" s="54"/>
      <c r="UUL159" s="54"/>
      <c r="UUM159" s="58"/>
      <c r="UUN159" s="58"/>
      <c r="UUO159" s="58"/>
      <c r="UUP159" s="58"/>
      <c r="UUQ159" s="59"/>
      <c r="UUR159" s="60"/>
      <c r="UUS159" s="54"/>
      <c r="UUT159" s="54"/>
      <c r="UUU159" s="36"/>
      <c r="UUV159" s="55"/>
      <c r="UUW159" s="54"/>
      <c r="UUX159" s="56"/>
      <c r="UUY159" s="57"/>
      <c r="UUZ159" s="54"/>
      <c r="UVA159" s="54"/>
      <c r="UVB159" s="54"/>
      <c r="UVC159" s="58"/>
      <c r="UVD159" s="58"/>
      <c r="UVE159" s="58"/>
      <c r="UVF159" s="58"/>
      <c r="UVG159" s="59"/>
      <c r="UVH159" s="60"/>
      <c r="UVI159" s="54"/>
      <c r="UVJ159" s="54"/>
      <c r="UVK159" s="36"/>
      <c r="UVL159" s="55"/>
      <c r="UVM159" s="54"/>
      <c r="UVN159" s="56"/>
      <c r="UVO159" s="57"/>
      <c r="UVP159" s="54"/>
      <c r="UVQ159" s="54"/>
      <c r="UVR159" s="54"/>
      <c r="UVS159" s="58"/>
      <c r="UVT159" s="58"/>
      <c r="UVU159" s="58"/>
      <c r="UVV159" s="58"/>
      <c r="UVW159" s="59"/>
      <c r="UVX159" s="60"/>
      <c r="UVY159" s="54"/>
      <c r="UVZ159" s="54"/>
      <c r="UWA159" s="36"/>
      <c r="UWB159" s="55"/>
      <c r="UWC159" s="54"/>
      <c r="UWD159" s="56"/>
      <c r="UWE159" s="57"/>
      <c r="UWF159" s="54"/>
      <c r="UWG159" s="54"/>
      <c r="UWH159" s="54"/>
      <c r="UWI159" s="58"/>
      <c r="UWJ159" s="58"/>
      <c r="UWK159" s="58"/>
      <c r="UWL159" s="58"/>
      <c r="UWM159" s="59"/>
      <c r="UWN159" s="60"/>
      <c r="UWO159" s="54"/>
      <c r="UWP159" s="54"/>
      <c r="UWQ159" s="36"/>
      <c r="UWR159" s="55"/>
      <c r="UWS159" s="54"/>
      <c r="UWT159" s="56"/>
      <c r="UWU159" s="57"/>
      <c r="UWV159" s="54"/>
      <c r="UWW159" s="54"/>
      <c r="UWX159" s="54"/>
      <c r="UWY159" s="58"/>
      <c r="UWZ159" s="58"/>
      <c r="UXA159" s="58"/>
      <c r="UXB159" s="58"/>
      <c r="UXC159" s="59"/>
      <c r="UXD159" s="60"/>
      <c r="UXE159" s="54"/>
      <c r="UXF159" s="54"/>
      <c r="UXG159" s="36"/>
      <c r="UXH159" s="55"/>
      <c r="UXI159" s="54"/>
      <c r="UXJ159" s="56"/>
      <c r="UXK159" s="57"/>
      <c r="UXL159" s="54"/>
      <c r="UXM159" s="54"/>
      <c r="UXN159" s="54"/>
      <c r="UXO159" s="58"/>
      <c r="UXP159" s="58"/>
      <c r="UXQ159" s="58"/>
      <c r="UXR159" s="58"/>
      <c r="UXS159" s="59"/>
      <c r="UXT159" s="60"/>
      <c r="UXU159" s="54"/>
      <c r="UXV159" s="54"/>
      <c r="UXW159" s="36"/>
      <c r="UXX159" s="55"/>
      <c r="UXY159" s="54"/>
      <c r="UXZ159" s="56"/>
      <c r="UYA159" s="57"/>
      <c r="UYB159" s="54"/>
      <c r="UYC159" s="54"/>
      <c r="UYD159" s="54"/>
      <c r="UYE159" s="58"/>
      <c r="UYF159" s="58"/>
      <c r="UYG159" s="58"/>
      <c r="UYH159" s="58"/>
      <c r="UYI159" s="59"/>
      <c r="UYJ159" s="60"/>
      <c r="UYK159" s="54"/>
      <c r="UYL159" s="54"/>
      <c r="UYM159" s="36"/>
      <c r="UYN159" s="55"/>
      <c r="UYO159" s="54"/>
      <c r="UYP159" s="56"/>
      <c r="UYQ159" s="57"/>
      <c r="UYR159" s="54"/>
      <c r="UYS159" s="54"/>
      <c r="UYT159" s="54"/>
      <c r="UYU159" s="58"/>
      <c r="UYV159" s="58"/>
      <c r="UYW159" s="58"/>
      <c r="UYX159" s="58"/>
      <c r="UYY159" s="59"/>
      <c r="UYZ159" s="60"/>
      <c r="UZA159" s="54"/>
      <c r="UZB159" s="54"/>
      <c r="UZC159" s="36"/>
      <c r="UZD159" s="55"/>
      <c r="UZE159" s="54"/>
      <c r="UZF159" s="56"/>
      <c r="UZG159" s="57"/>
      <c r="UZH159" s="54"/>
      <c r="UZI159" s="54"/>
      <c r="UZJ159" s="54"/>
      <c r="UZK159" s="58"/>
      <c r="UZL159" s="58"/>
      <c r="UZM159" s="58"/>
      <c r="UZN159" s="58"/>
      <c r="UZO159" s="59"/>
      <c r="UZP159" s="60"/>
      <c r="UZQ159" s="54"/>
      <c r="UZR159" s="54"/>
      <c r="UZS159" s="36"/>
      <c r="UZT159" s="55"/>
      <c r="UZU159" s="54"/>
      <c r="UZV159" s="56"/>
      <c r="UZW159" s="57"/>
      <c r="UZX159" s="54"/>
      <c r="UZY159" s="54"/>
      <c r="UZZ159" s="54"/>
      <c r="VAA159" s="58"/>
      <c r="VAB159" s="58"/>
      <c r="VAC159" s="58"/>
      <c r="VAD159" s="58"/>
      <c r="VAE159" s="59"/>
      <c r="VAF159" s="60"/>
      <c r="VAG159" s="54"/>
      <c r="VAH159" s="54"/>
      <c r="VAI159" s="36"/>
      <c r="VAJ159" s="55"/>
      <c r="VAK159" s="54"/>
      <c r="VAL159" s="56"/>
      <c r="VAM159" s="57"/>
      <c r="VAN159" s="54"/>
      <c r="VAO159" s="54"/>
      <c r="VAP159" s="54"/>
      <c r="VAQ159" s="58"/>
      <c r="VAR159" s="58"/>
      <c r="VAS159" s="58"/>
      <c r="VAT159" s="58"/>
      <c r="VAU159" s="59"/>
      <c r="VAV159" s="60"/>
      <c r="VAW159" s="54"/>
      <c r="VAX159" s="54"/>
      <c r="VAY159" s="36"/>
      <c r="VAZ159" s="55"/>
      <c r="VBA159" s="54"/>
      <c r="VBB159" s="56"/>
      <c r="VBC159" s="57"/>
      <c r="VBD159" s="54"/>
      <c r="VBE159" s="54"/>
      <c r="VBF159" s="54"/>
      <c r="VBG159" s="58"/>
      <c r="VBH159" s="58"/>
      <c r="VBI159" s="58"/>
      <c r="VBJ159" s="58"/>
      <c r="VBK159" s="59"/>
      <c r="VBL159" s="60"/>
      <c r="VBM159" s="54"/>
      <c r="VBN159" s="54"/>
      <c r="VBO159" s="36"/>
      <c r="VBP159" s="55"/>
      <c r="VBQ159" s="54"/>
      <c r="VBR159" s="56"/>
      <c r="VBS159" s="57"/>
      <c r="VBT159" s="54"/>
      <c r="VBU159" s="54"/>
      <c r="VBV159" s="54"/>
      <c r="VBW159" s="58"/>
      <c r="VBX159" s="58"/>
      <c r="VBY159" s="58"/>
      <c r="VBZ159" s="58"/>
      <c r="VCA159" s="59"/>
      <c r="VCB159" s="60"/>
      <c r="VCC159" s="54"/>
      <c r="VCD159" s="54"/>
      <c r="VCE159" s="36"/>
      <c r="VCF159" s="55"/>
      <c r="VCG159" s="54"/>
      <c r="VCH159" s="56"/>
      <c r="VCI159" s="57"/>
      <c r="VCJ159" s="54"/>
      <c r="VCK159" s="54"/>
      <c r="VCL159" s="54"/>
      <c r="VCM159" s="58"/>
      <c r="VCN159" s="58"/>
      <c r="VCO159" s="58"/>
      <c r="VCP159" s="58"/>
      <c r="VCQ159" s="59"/>
      <c r="VCR159" s="60"/>
      <c r="VCS159" s="54"/>
      <c r="VCT159" s="54"/>
      <c r="VCU159" s="36"/>
      <c r="VCV159" s="55"/>
      <c r="VCW159" s="54"/>
      <c r="VCX159" s="56"/>
      <c r="VCY159" s="57"/>
      <c r="VCZ159" s="54"/>
      <c r="VDA159" s="54"/>
      <c r="VDB159" s="54"/>
      <c r="VDC159" s="58"/>
      <c r="VDD159" s="58"/>
      <c r="VDE159" s="58"/>
      <c r="VDF159" s="58"/>
      <c r="VDG159" s="59"/>
      <c r="VDH159" s="60"/>
      <c r="VDI159" s="54"/>
      <c r="VDJ159" s="54"/>
      <c r="VDK159" s="36"/>
      <c r="VDL159" s="55"/>
      <c r="VDM159" s="54"/>
      <c r="VDN159" s="56"/>
      <c r="VDO159" s="57"/>
      <c r="VDP159" s="54"/>
      <c r="VDQ159" s="54"/>
      <c r="VDR159" s="54"/>
      <c r="VDS159" s="58"/>
      <c r="VDT159" s="58"/>
      <c r="VDU159" s="58"/>
      <c r="VDV159" s="58"/>
      <c r="VDW159" s="59"/>
      <c r="VDX159" s="60"/>
      <c r="VDY159" s="54"/>
      <c r="VDZ159" s="54"/>
      <c r="VEA159" s="36"/>
      <c r="VEB159" s="55"/>
      <c r="VEC159" s="54"/>
      <c r="VED159" s="56"/>
      <c r="VEE159" s="57"/>
      <c r="VEF159" s="54"/>
      <c r="VEG159" s="54"/>
      <c r="VEH159" s="54"/>
      <c r="VEI159" s="58"/>
      <c r="VEJ159" s="58"/>
      <c r="VEK159" s="58"/>
      <c r="VEL159" s="58"/>
      <c r="VEM159" s="59"/>
      <c r="VEN159" s="60"/>
      <c r="VEO159" s="54"/>
      <c r="VEP159" s="54"/>
      <c r="VEQ159" s="36"/>
      <c r="VER159" s="55"/>
      <c r="VES159" s="54"/>
      <c r="VET159" s="56"/>
      <c r="VEU159" s="57"/>
      <c r="VEV159" s="54"/>
      <c r="VEW159" s="54"/>
      <c r="VEX159" s="54"/>
      <c r="VEY159" s="58"/>
      <c r="VEZ159" s="58"/>
      <c r="VFA159" s="58"/>
      <c r="VFB159" s="58"/>
      <c r="VFC159" s="59"/>
      <c r="VFD159" s="60"/>
      <c r="VFE159" s="54"/>
      <c r="VFF159" s="54"/>
      <c r="VFG159" s="36"/>
      <c r="VFH159" s="55"/>
      <c r="VFI159" s="54"/>
      <c r="VFJ159" s="56"/>
      <c r="VFK159" s="57"/>
      <c r="VFL159" s="54"/>
      <c r="VFM159" s="54"/>
      <c r="VFN159" s="54"/>
      <c r="VFO159" s="58"/>
      <c r="VFP159" s="58"/>
      <c r="VFQ159" s="58"/>
      <c r="VFR159" s="58"/>
      <c r="VFS159" s="59"/>
      <c r="VFT159" s="60"/>
      <c r="VFU159" s="54"/>
      <c r="VFV159" s="54"/>
      <c r="VFW159" s="36"/>
      <c r="VFX159" s="55"/>
      <c r="VFY159" s="54"/>
      <c r="VFZ159" s="56"/>
      <c r="VGA159" s="57"/>
      <c r="VGB159" s="54"/>
      <c r="VGC159" s="54"/>
      <c r="VGD159" s="54"/>
      <c r="VGE159" s="58"/>
      <c r="VGF159" s="58"/>
      <c r="VGG159" s="58"/>
      <c r="VGH159" s="58"/>
      <c r="VGI159" s="59"/>
      <c r="VGJ159" s="60"/>
      <c r="VGK159" s="54"/>
      <c r="VGL159" s="54"/>
      <c r="VGM159" s="36"/>
      <c r="VGN159" s="55"/>
      <c r="VGO159" s="54"/>
      <c r="VGP159" s="56"/>
      <c r="VGQ159" s="57"/>
      <c r="VGR159" s="54"/>
      <c r="VGS159" s="54"/>
      <c r="VGT159" s="54"/>
      <c r="VGU159" s="58"/>
      <c r="VGV159" s="58"/>
      <c r="VGW159" s="58"/>
      <c r="VGX159" s="58"/>
      <c r="VGY159" s="59"/>
      <c r="VGZ159" s="60"/>
      <c r="VHA159" s="54"/>
      <c r="VHB159" s="54"/>
      <c r="VHC159" s="36"/>
      <c r="VHD159" s="55"/>
      <c r="VHE159" s="54"/>
      <c r="VHF159" s="56"/>
      <c r="VHG159" s="57"/>
      <c r="VHH159" s="54"/>
      <c r="VHI159" s="54"/>
      <c r="VHJ159" s="54"/>
      <c r="VHK159" s="58"/>
      <c r="VHL159" s="58"/>
      <c r="VHM159" s="58"/>
      <c r="VHN159" s="58"/>
      <c r="VHO159" s="59"/>
      <c r="VHP159" s="60"/>
      <c r="VHQ159" s="54"/>
      <c r="VHR159" s="54"/>
      <c r="VHS159" s="36"/>
      <c r="VHT159" s="55"/>
      <c r="VHU159" s="54"/>
      <c r="VHV159" s="56"/>
      <c r="VHW159" s="57"/>
      <c r="VHX159" s="54"/>
      <c r="VHY159" s="54"/>
      <c r="VHZ159" s="54"/>
      <c r="VIA159" s="58"/>
      <c r="VIB159" s="58"/>
      <c r="VIC159" s="58"/>
      <c r="VID159" s="58"/>
      <c r="VIE159" s="59"/>
      <c r="VIF159" s="60"/>
      <c r="VIG159" s="54"/>
      <c r="VIH159" s="54"/>
      <c r="VII159" s="36"/>
      <c r="VIJ159" s="55"/>
      <c r="VIK159" s="54"/>
      <c r="VIL159" s="56"/>
      <c r="VIM159" s="57"/>
      <c r="VIN159" s="54"/>
      <c r="VIO159" s="54"/>
      <c r="VIP159" s="54"/>
      <c r="VIQ159" s="58"/>
      <c r="VIR159" s="58"/>
      <c r="VIS159" s="58"/>
      <c r="VIT159" s="58"/>
      <c r="VIU159" s="59"/>
      <c r="VIV159" s="60"/>
      <c r="VIW159" s="54"/>
      <c r="VIX159" s="54"/>
      <c r="VIY159" s="36"/>
      <c r="VIZ159" s="55"/>
      <c r="VJA159" s="54"/>
      <c r="VJB159" s="56"/>
      <c r="VJC159" s="57"/>
      <c r="VJD159" s="54"/>
      <c r="VJE159" s="54"/>
      <c r="VJF159" s="54"/>
      <c r="VJG159" s="58"/>
      <c r="VJH159" s="58"/>
      <c r="VJI159" s="58"/>
      <c r="VJJ159" s="58"/>
      <c r="VJK159" s="59"/>
      <c r="VJL159" s="60"/>
      <c r="VJM159" s="54"/>
      <c r="VJN159" s="54"/>
      <c r="VJO159" s="36"/>
      <c r="VJP159" s="55"/>
      <c r="VJQ159" s="54"/>
      <c r="VJR159" s="56"/>
      <c r="VJS159" s="57"/>
      <c r="VJT159" s="54"/>
      <c r="VJU159" s="54"/>
      <c r="VJV159" s="54"/>
      <c r="VJW159" s="58"/>
      <c r="VJX159" s="58"/>
      <c r="VJY159" s="58"/>
      <c r="VJZ159" s="58"/>
      <c r="VKA159" s="59"/>
      <c r="VKB159" s="60"/>
      <c r="VKC159" s="54"/>
      <c r="VKD159" s="54"/>
      <c r="VKE159" s="36"/>
      <c r="VKF159" s="55"/>
      <c r="VKG159" s="54"/>
      <c r="VKH159" s="56"/>
      <c r="VKI159" s="57"/>
      <c r="VKJ159" s="54"/>
      <c r="VKK159" s="54"/>
      <c r="VKL159" s="54"/>
      <c r="VKM159" s="58"/>
      <c r="VKN159" s="58"/>
      <c r="VKO159" s="58"/>
      <c r="VKP159" s="58"/>
      <c r="VKQ159" s="59"/>
      <c r="VKR159" s="60"/>
      <c r="VKS159" s="54"/>
      <c r="VKT159" s="54"/>
      <c r="VKU159" s="36"/>
      <c r="VKV159" s="55"/>
      <c r="VKW159" s="54"/>
      <c r="VKX159" s="56"/>
      <c r="VKY159" s="57"/>
      <c r="VKZ159" s="54"/>
      <c r="VLA159" s="54"/>
      <c r="VLB159" s="54"/>
      <c r="VLC159" s="58"/>
      <c r="VLD159" s="58"/>
      <c r="VLE159" s="58"/>
      <c r="VLF159" s="58"/>
      <c r="VLG159" s="59"/>
      <c r="VLH159" s="60"/>
      <c r="VLI159" s="54"/>
      <c r="VLJ159" s="54"/>
      <c r="VLK159" s="36"/>
      <c r="VLL159" s="55"/>
      <c r="VLM159" s="54"/>
      <c r="VLN159" s="56"/>
      <c r="VLO159" s="57"/>
      <c r="VLP159" s="54"/>
      <c r="VLQ159" s="54"/>
      <c r="VLR159" s="54"/>
      <c r="VLS159" s="58"/>
      <c r="VLT159" s="58"/>
      <c r="VLU159" s="58"/>
      <c r="VLV159" s="58"/>
      <c r="VLW159" s="59"/>
      <c r="VLX159" s="60"/>
      <c r="VLY159" s="54"/>
      <c r="VLZ159" s="54"/>
      <c r="VMA159" s="36"/>
      <c r="VMB159" s="55"/>
      <c r="VMC159" s="54"/>
      <c r="VMD159" s="56"/>
      <c r="VME159" s="57"/>
      <c r="VMF159" s="54"/>
      <c r="VMG159" s="54"/>
      <c r="VMH159" s="54"/>
      <c r="VMI159" s="58"/>
      <c r="VMJ159" s="58"/>
      <c r="VMK159" s="58"/>
      <c r="VML159" s="58"/>
      <c r="VMM159" s="59"/>
      <c r="VMN159" s="60"/>
      <c r="VMO159" s="54"/>
      <c r="VMP159" s="54"/>
      <c r="VMQ159" s="36"/>
      <c r="VMR159" s="55"/>
      <c r="VMS159" s="54"/>
      <c r="VMT159" s="56"/>
      <c r="VMU159" s="57"/>
      <c r="VMV159" s="54"/>
      <c r="VMW159" s="54"/>
      <c r="VMX159" s="54"/>
      <c r="VMY159" s="58"/>
      <c r="VMZ159" s="58"/>
      <c r="VNA159" s="58"/>
      <c r="VNB159" s="58"/>
      <c r="VNC159" s="59"/>
      <c r="VND159" s="60"/>
      <c r="VNE159" s="54"/>
      <c r="VNF159" s="54"/>
      <c r="VNG159" s="36"/>
      <c r="VNH159" s="55"/>
      <c r="VNI159" s="54"/>
      <c r="VNJ159" s="56"/>
      <c r="VNK159" s="57"/>
      <c r="VNL159" s="54"/>
      <c r="VNM159" s="54"/>
      <c r="VNN159" s="54"/>
      <c r="VNO159" s="58"/>
      <c r="VNP159" s="58"/>
      <c r="VNQ159" s="58"/>
      <c r="VNR159" s="58"/>
      <c r="VNS159" s="59"/>
      <c r="VNT159" s="60"/>
      <c r="VNU159" s="54"/>
      <c r="VNV159" s="54"/>
      <c r="VNW159" s="36"/>
      <c r="VNX159" s="55"/>
      <c r="VNY159" s="54"/>
      <c r="VNZ159" s="56"/>
      <c r="VOA159" s="57"/>
      <c r="VOB159" s="54"/>
      <c r="VOC159" s="54"/>
      <c r="VOD159" s="54"/>
      <c r="VOE159" s="58"/>
      <c r="VOF159" s="58"/>
      <c r="VOG159" s="58"/>
      <c r="VOH159" s="58"/>
      <c r="VOI159" s="59"/>
      <c r="VOJ159" s="60"/>
      <c r="VOK159" s="54"/>
      <c r="VOL159" s="54"/>
      <c r="VOM159" s="36"/>
      <c r="VON159" s="55"/>
      <c r="VOO159" s="54"/>
      <c r="VOP159" s="56"/>
      <c r="VOQ159" s="57"/>
      <c r="VOR159" s="54"/>
      <c r="VOS159" s="54"/>
      <c r="VOT159" s="54"/>
      <c r="VOU159" s="58"/>
      <c r="VOV159" s="58"/>
      <c r="VOW159" s="58"/>
      <c r="VOX159" s="58"/>
      <c r="VOY159" s="59"/>
      <c r="VOZ159" s="60"/>
      <c r="VPA159" s="54"/>
      <c r="VPB159" s="54"/>
      <c r="VPC159" s="36"/>
      <c r="VPD159" s="55"/>
      <c r="VPE159" s="54"/>
      <c r="VPF159" s="56"/>
      <c r="VPG159" s="57"/>
      <c r="VPH159" s="54"/>
      <c r="VPI159" s="54"/>
      <c r="VPJ159" s="54"/>
      <c r="VPK159" s="58"/>
      <c r="VPL159" s="58"/>
      <c r="VPM159" s="58"/>
      <c r="VPN159" s="58"/>
      <c r="VPO159" s="59"/>
      <c r="VPP159" s="60"/>
      <c r="VPQ159" s="54"/>
      <c r="VPR159" s="54"/>
      <c r="VPS159" s="36"/>
      <c r="VPT159" s="55"/>
      <c r="VPU159" s="54"/>
      <c r="VPV159" s="56"/>
      <c r="VPW159" s="57"/>
      <c r="VPX159" s="54"/>
      <c r="VPY159" s="54"/>
      <c r="VPZ159" s="54"/>
      <c r="VQA159" s="58"/>
      <c r="VQB159" s="58"/>
      <c r="VQC159" s="58"/>
      <c r="VQD159" s="58"/>
      <c r="VQE159" s="59"/>
      <c r="VQF159" s="60"/>
      <c r="VQG159" s="54"/>
      <c r="VQH159" s="54"/>
      <c r="VQI159" s="36"/>
      <c r="VQJ159" s="55"/>
      <c r="VQK159" s="54"/>
      <c r="VQL159" s="56"/>
      <c r="VQM159" s="57"/>
      <c r="VQN159" s="54"/>
      <c r="VQO159" s="54"/>
      <c r="VQP159" s="54"/>
      <c r="VQQ159" s="58"/>
      <c r="VQR159" s="58"/>
      <c r="VQS159" s="58"/>
      <c r="VQT159" s="58"/>
      <c r="VQU159" s="59"/>
      <c r="VQV159" s="60"/>
      <c r="VQW159" s="54"/>
      <c r="VQX159" s="54"/>
      <c r="VQY159" s="36"/>
      <c r="VQZ159" s="55"/>
      <c r="VRA159" s="54"/>
      <c r="VRB159" s="56"/>
      <c r="VRC159" s="57"/>
      <c r="VRD159" s="54"/>
      <c r="VRE159" s="54"/>
      <c r="VRF159" s="54"/>
      <c r="VRG159" s="58"/>
      <c r="VRH159" s="58"/>
      <c r="VRI159" s="58"/>
      <c r="VRJ159" s="58"/>
      <c r="VRK159" s="59"/>
      <c r="VRL159" s="60"/>
      <c r="VRM159" s="54"/>
      <c r="VRN159" s="54"/>
      <c r="VRO159" s="36"/>
      <c r="VRP159" s="55"/>
      <c r="VRQ159" s="54"/>
      <c r="VRR159" s="56"/>
      <c r="VRS159" s="57"/>
      <c r="VRT159" s="54"/>
      <c r="VRU159" s="54"/>
      <c r="VRV159" s="54"/>
      <c r="VRW159" s="58"/>
      <c r="VRX159" s="58"/>
      <c r="VRY159" s="58"/>
      <c r="VRZ159" s="58"/>
      <c r="VSA159" s="59"/>
      <c r="VSB159" s="60"/>
      <c r="VSC159" s="54"/>
      <c r="VSD159" s="54"/>
      <c r="VSE159" s="36"/>
      <c r="VSF159" s="55"/>
      <c r="VSG159" s="54"/>
      <c r="VSH159" s="56"/>
      <c r="VSI159" s="57"/>
      <c r="VSJ159" s="54"/>
      <c r="VSK159" s="54"/>
      <c r="VSL159" s="54"/>
      <c r="VSM159" s="58"/>
      <c r="VSN159" s="58"/>
      <c r="VSO159" s="58"/>
      <c r="VSP159" s="58"/>
      <c r="VSQ159" s="59"/>
      <c r="VSR159" s="60"/>
      <c r="VSS159" s="54"/>
      <c r="VST159" s="54"/>
      <c r="VSU159" s="36"/>
      <c r="VSV159" s="55"/>
      <c r="VSW159" s="54"/>
      <c r="VSX159" s="56"/>
      <c r="VSY159" s="57"/>
      <c r="VSZ159" s="54"/>
      <c r="VTA159" s="54"/>
      <c r="VTB159" s="54"/>
      <c r="VTC159" s="58"/>
      <c r="VTD159" s="58"/>
      <c r="VTE159" s="58"/>
      <c r="VTF159" s="58"/>
      <c r="VTG159" s="59"/>
      <c r="VTH159" s="60"/>
      <c r="VTI159" s="54"/>
      <c r="VTJ159" s="54"/>
      <c r="VTK159" s="36"/>
      <c r="VTL159" s="55"/>
      <c r="VTM159" s="54"/>
      <c r="VTN159" s="56"/>
      <c r="VTO159" s="57"/>
      <c r="VTP159" s="54"/>
      <c r="VTQ159" s="54"/>
      <c r="VTR159" s="54"/>
      <c r="VTS159" s="58"/>
      <c r="VTT159" s="58"/>
      <c r="VTU159" s="58"/>
      <c r="VTV159" s="58"/>
      <c r="VTW159" s="59"/>
      <c r="VTX159" s="60"/>
      <c r="VTY159" s="54"/>
      <c r="VTZ159" s="54"/>
      <c r="VUA159" s="36"/>
      <c r="VUB159" s="55"/>
      <c r="VUC159" s="54"/>
      <c r="VUD159" s="56"/>
      <c r="VUE159" s="57"/>
      <c r="VUF159" s="54"/>
      <c r="VUG159" s="54"/>
      <c r="VUH159" s="54"/>
      <c r="VUI159" s="58"/>
      <c r="VUJ159" s="58"/>
      <c r="VUK159" s="58"/>
      <c r="VUL159" s="58"/>
      <c r="VUM159" s="59"/>
      <c r="VUN159" s="60"/>
      <c r="VUO159" s="54"/>
      <c r="VUP159" s="54"/>
      <c r="VUQ159" s="36"/>
      <c r="VUR159" s="55"/>
      <c r="VUS159" s="54"/>
      <c r="VUT159" s="56"/>
      <c r="VUU159" s="57"/>
      <c r="VUV159" s="54"/>
      <c r="VUW159" s="54"/>
      <c r="VUX159" s="54"/>
      <c r="VUY159" s="58"/>
      <c r="VUZ159" s="58"/>
      <c r="VVA159" s="58"/>
      <c r="VVB159" s="58"/>
      <c r="VVC159" s="59"/>
      <c r="VVD159" s="60"/>
      <c r="VVE159" s="54"/>
      <c r="VVF159" s="54"/>
      <c r="VVG159" s="36"/>
      <c r="VVH159" s="55"/>
      <c r="VVI159" s="54"/>
      <c r="VVJ159" s="56"/>
      <c r="VVK159" s="57"/>
      <c r="VVL159" s="54"/>
      <c r="VVM159" s="54"/>
      <c r="VVN159" s="54"/>
      <c r="VVO159" s="58"/>
      <c r="VVP159" s="58"/>
      <c r="VVQ159" s="58"/>
      <c r="VVR159" s="58"/>
      <c r="VVS159" s="59"/>
      <c r="VVT159" s="60"/>
      <c r="VVU159" s="54"/>
      <c r="VVV159" s="54"/>
      <c r="VVW159" s="36"/>
      <c r="VVX159" s="55"/>
      <c r="VVY159" s="54"/>
      <c r="VVZ159" s="56"/>
      <c r="VWA159" s="57"/>
      <c r="VWB159" s="54"/>
      <c r="VWC159" s="54"/>
      <c r="VWD159" s="54"/>
      <c r="VWE159" s="58"/>
      <c r="VWF159" s="58"/>
      <c r="VWG159" s="58"/>
      <c r="VWH159" s="58"/>
      <c r="VWI159" s="59"/>
      <c r="VWJ159" s="60"/>
      <c r="VWK159" s="54"/>
      <c r="VWL159" s="54"/>
      <c r="VWM159" s="36"/>
      <c r="VWN159" s="55"/>
      <c r="VWO159" s="54"/>
      <c r="VWP159" s="56"/>
      <c r="VWQ159" s="57"/>
      <c r="VWR159" s="54"/>
      <c r="VWS159" s="54"/>
      <c r="VWT159" s="54"/>
      <c r="VWU159" s="58"/>
      <c r="VWV159" s="58"/>
      <c r="VWW159" s="58"/>
      <c r="VWX159" s="58"/>
      <c r="VWY159" s="59"/>
      <c r="VWZ159" s="60"/>
      <c r="VXA159" s="54"/>
      <c r="VXB159" s="54"/>
      <c r="VXC159" s="36"/>
      <c r="VXD159" s="55"/>
      <c r="VXE159" s="54"/>
      <c r="VXF159" s="56"/>
      <c r="VXG159" s="57"/>
      <c r="VXH159" s="54"/>
      <c r="VXI159" s="54"/>
      <c r="VXJ159" s="54"/>
      <c r="VXK159" s="58"/>
      <c r="VXL159" s="58"/>
      <c r="VXM159" s="58"/>
      <c r="VXN159" s="58"/>
      <c r="VXO159" s="59"/>
      <c r="VXP159" s="60"/>
      <c r="VXQ159" s="54"/>
      <c r="VXR159" s="54"/>
      <c r="VXS159" s="36"/>
      <c r="VXT159" s="55"/>
      <c r="VXU159" s="54"/>
      <c r="VXV159" s="56"/>
      <c r="VXW159" s="57"/>
      <c r="VXX159" s="54"/>
      <c r="VXY159" s="54"/>
      <c r="VXZ159" s="54"/>
      <c r="VYA159" s="58"/>
      <c r="VYB159" s="58"/>
      <c r="VYC159" s="58"/>
      <c r="VYD159" s="58"/>
      <c r="VYE159" s="59"/>
      <c r="VYF159" s="60"/>
      <c r="VYG159" s="54"/>
      <c r="VYH159" s="54"/>
      <c r="VYI159" s="36"/>
      <c r="VYJ159" s="55"/>
      <c r="VYK159" s="54"/>
      <c r="VYL159" s="56"/>
      <c r="VYM159" s="57"/>
      <c r="VYN159" s="54"/>
      <c r="VYO159" s="54"/>
      <c r="VYP159" s="54"/>
      <c r="VYQ159" s="58"/>
      <c r="VYR159" s="58"/>
      <c r="VYS159" s="58"/>
      <c r="VYT159" s="58"/>
      <c r="VYU159" s="59"/>
      <c r="VYV159" s="60"/>
      <c r="VYW159" s="54"/>
      <c r="VYX159" s="54"/>
      <c r="VYY159" s="36"/>
      <c r="VYZ159" s="55"/>
      <c r="VZA159" s="54"/>
      <c r="VZB159" s="56"/>
      <c r="VZC159" s="57"/>
      <c r="VZD159" s="54"/>
      <c r="VZE159" s="54"/>
      <c r="VZF159" s="54"/>
      <c r="VZG159" s="58"/>
      <c r="VZH159" s="58"/>
      <c r="VZI159" s="58"/>
      <c r="VZJ159" s="58"/>
      <c r="VZK159" s="59"/>
      <c r="VZL159" s="60"/>
      <c r="VZM159" s="54"/>
      <c r="VZN159" s="54"/>
      <c r="VZO159" s="36"/>
      <c r="VZP159" s="55"/>
      <c r="VZQ159" s="54"/>
      <c r="VZR159" s="56"/>
      <c r="VZS159" s="57"/>
      <c r="VZT159" s="54"/>
      <c r="VZU159" s="54"/>
      <c r="VZV159" s="54"/>
      <c r="VZW159" s="58"/>
      <c r="VZX159" s="58"/>
      <c r="VZY159" s="58"/>
      <c r="VZZ159" s="58"/>
      <c r="WAA159" s="59"/>
      <c r="WAB159" s="60"/>
      <c r="WAC159" s="54"/>
      <c r="WAD159" s="54"/>
      <c r="WAE159" s="36"/>
      <c r="WAF159" s="55"/>
      <c r="WAG159" s="54"/>
      <c r="WAH159" s="56"/>
      <c r="WAI159" s="57"/>
      <c r="WAJ159" s="54"/>
      <c r="WAK159" s="54"/>
      <c r="WAL159" s="54"/>
      <c r="WAM159" s="58"/>
      <c r="WAN159" s="58"/>
      <c r="WAO159" s="58"/>
      <c r="WAP159" s="58"/>
      <c r="WAQ159" s="59"/>
      <c r="WAR159" s="60"/>
      <c r="WAS159" s="54"/>
      <c r="WAT159" s="54"/>
      <c r="WAU159" s="36"/>
      <c r="WAV159" s="55"/>
      <c r="WAW159" s="54"/>
      <c r="WAX159" s="56"/>
      <c r="WAY159" s="57"/>
      <c r="WAZ159" s="54"/>
      <c r="WBA159" s="54"/>
      <c r="WBB159" s="54"/>
      <c r="WBC159" s="58"/>
      <c r="WBD159" s="58"/>
      <c r="WBE159" s="58"/>
      <c r="WBF159" s="58"/>
      <c r="WBG159" s="59"/>
      <c r="WBH159" s="60"/>
      <c r="WBI159" s="54"/>
      <c r="WBJ159" s="54"/>
      <c r="WBK159" s="36"/>
      <c r="WBL159" s="55"/>
      <c r="WBM159" s="54"/>
      <c r="WBN159" s="56"/>
      <c r="WBO159" s="57"/>
      <c r="WBP159" s="54"/>
      <c r="WBQ159" s="54"/>
      <c r="WBR159" s="54"/>
      <c r="WBS159" s="58"/>
      <c r="WBT159" s="58"/>
      <c r="WBU159" s="58"/>
      <c r="WBV159" s="58"/>
      <c r="WBW159" s="59"/>
      <c r="WBX159" s="60"/>
      <c r="WBY159" s="54"/>
      <c r="WBZ159" s="54"/>
      <c r="WCA159" s="36"/>
      <c r="WCB159" s="55"/>
      <c r="WCC159" s="54"/>
      <c r="WCD159" s="56"/>
      <c r="WCE159" s="57"/>
      <c r="WCF159" s="54"/>
      <c r="WCG159" s="54"/>
      <c r="WCH159" s="54"/>
      <c r="WCI159" s="58"/>
      <c r="WCJ159" s="58"/>
      <c r="WCK159" s="58"/>
      <c r="WCL159" s="58"/>
      <c r="WCM159" s="59"/>
      <c r="WCN159" s="60"/>
      <c r="WCO159" s="54"/>
      <c r="WCP159" s="54"/>
      <c r="WCQ159" s="36"/>
      <c r="WCR159" s="55"/>
      <c r="WCS159" s="54"/>
      <c r="WCT159" s="56"/>
      <c r="WCU159" s="57"/>
      <c r="WCV159" s="54"/>
      <c r="WCW159" s="54"/>
      <c r="WCX159" s="54"/>
      <c r="WCY159" s="58"/>
      <c r="WCZ159" s="58"/>
      <c r="WDA159" s="58"/>
      <c r="WDB159" s="58"/>
      <c r="WDC159" s="59"/>
      <c r="WDD159" s="60"/>
      <c r="WDE159" s="54"/>
      <c r="WDF159" s="54"/>
      <c r="WDG159" s="36"/>
      <c r="WDH159" s="55"/>
      <c r="WDI159" s="54"/>
      <c r="WDJ159" s="56"/>
      <c r="WDK159" s="57"/>
      <c r="WDL159" s="54"/>
      <c r="WDM159" s="54"/>
      <c r="WDN159" s="54"/>
      <c r="WDO159" s="58"/>
      <c r="WDP159" s="58"/>
      <c r="WDQ159" s="58"/>
      <c r="WDR159" s="58"/>
      <c r="WDS159" s="59"/>
      <c r="WDT159" s="60"/>
      <c r="WDU159" s="54"/>
      <c r="WDV159" s="54"/>
      <c r="WDW159" s="36"/>
      <c r="WDX159" s="55"/>
      <c r="WDY159" s="54"/>
      <c r="WDZ159" s="56"/>
      <c r="WEA159" s="57"/>
      <c r="WEB159" s="54"/>
      <c r="WEC159" s="54"/>
      <c r="WED159" s="54"/>
      <c r="WEE159" s="58"/>
      <c r="WEF159" s="58"/>
      <c r="WEG159" s="58"/>
      <c r="WEH159" s="58"/>
      <c r="WEI159" s="59"/>
      <c r="WEJ159" s="60"/>
      <c r="WEK159" s="54"/>
      <c r="WEL159" s="54"/>
      <c r="WEM159" s="36"/>
      <c r="WEN159" s="55"/>
      <c r="WEO159" s="54"/>
      <c r="WEP159" s="56"/>
      <c r="WEQ159" s="57"/>
      <c r="WER159" s="54"/>
      <c r="WES159" s="54"/>
      <c r="WET159" s="54"/>
      <c r="WEU159" s="58"/>
      <c r="WEV159" s="58"/>
      <c r="WEW159" s="58"/>
      <c r="WEX159" s="58"/>
      <c r="WEY159" s="59"/>
      <c r="WEZ159" s="60"/>
      <c r="WFA159" s="54"/>
      <c r="WFB159" s="54"/>
      <c r="WFC159" s="36"/>
      <c r="WFD159" s="55"/>
      <c r="WFE159" s="54"/>
      <c r="WFF159" s="56"/>
      <c r="WFG159" s="57"/>
      <c r="WFH159" s="54"/>
      <c r="WFI159" s="54"/>
      <c r="WFJ159" s="54"/>
      <c r="WFK159" s="58"/>
      <c r="WFL159" s="58"/>
      <c r="WFM159" s="58"/>
      <c r="WFN159" s="58"/>
      <c r="WFO159" s="59"/>
      <c r="WFP159" s="60"/>
      <c r="WFQ159" s="54"/>
      <c r="WFR159" s="54"/>
      <c r="WFS159" s="36"/>
      <c r="WFT159" s="55"/>
      <c r="WFU159" s="54"/>
      <c r="WFV159" s="56"/>
      <c r="WFW159" s="57"/>
      <c r="WFX159" s="54"/>
      <c r="WFY159" s="54"/>
      <c r="WFZ159" s="54"/>
      <c r="WGA159" s="58"/>
      <c r="WGB159" s="58"/>
      <c r="WGC159" s="58"/>
      <c r="WGD159" s="58"/>
      <c r="WGE159" s="59"/>
      <c r="WGF159" s="60"/>
      <c r="WGG159" s="54"/>
      <c r="WGH159" s="54"/>
      <c r="WGI159" s="36"/>
      <c r="WGJ159" s="55"/>
      <c r="WGK159" s="54"/>
      <c r="WGL159" s="56"/>
      <c r="WGM159" s="57"/>
      <c r="WGN159" s="54"/>
      <c r="WGO159" s="54"/>
      <c r="WGP159" s="54"/>
      <c r="WGQ159" s="58"/>
      <c r="WGR159" s="58"/>
      <c r="WGS159" s="58"/>
      <c r="WGT159" s="58"/>
      <c r="WGU159" s="59"/>
      <c r="WGV159" s="60"/>
      <c r="WGW159" s="54"/>
      <c r="WGX159" s="54"/>
      <c r="WGY159" s="36"/>
      <c r="WGZ159" s="55"/>
      <c r="WHA159" s="54"/>
      <c r="WHB159" s="56"/>
      <c r="WHC159" s="57"/>
      <c r="WHD159" s="54"/>
      <c r="WHE159" s="54"/>
      <c r="WHF159" s="54"/>
      <c r="WHG159" s="58"/>
      <c r="WHH159" s="58"/>
      <c r="WHI159" s="58"/>
      <c r="WHJ159" s="58"/>
      <c r="WHK159" s="59"/>
      <c r="WHL159" s="60"/>
      <c r="WHM159" s="54"/>
      <c r="WHN159" s="54"/>
      <c r="WHO159" s="36"/>
      <c r="WHP159" s="55"/>
      <c r="WHQ159" s="54"/>
      <c r="WHR159" s="56"/>
      <c r="WHS159" s="57"/>
      <c r="WHT159" s="54"/>
      <c r="WHU159" s="54"/>
      <c r="WHV159" s="54"/>
      <c r="WHW159" s="58"/>
      <c r="WHX159" s="58"/>
      <c r="WHY159" s="58"/>
      <c r="WHZ159" s="58"/>
      <c r="WIA159" s="59"/>
      <c r="WIB159" s="60"/>
      <c r="WIC159" s="54"/>
      <c r="WID159" s="54"/>
      <c r="WIE159" s="36"/>
      <c r="WIF159" s="55"/>
      <c r="WIG159" s="54"/>
      <c r="WIH159" s="56"/>
      <c r="WII159" s="57"/>
      <c r="WIJ159" s="54"/>
      <c r="WIK159" s="54"/>
      <c r="WIL159" s="54"/>
      <c r="WIM159" s="58"/>
      <c r="WIN159" s="58"/>
      <c r="WIO159" s="58"/>
      <c r="WIP159" s="58"/>
      <c r="WIQ159" s="59"/>
      <c r="WIR159" s="60"/>
      <c r="WIS159" s="54"/>
      <c r="WIT159" s="54"/>
      <c r="WIU159" s="36"/>
      <c r="WIV159" s="55"/>
      <c r="WIW159" s="54"/>
      <c r="WIX159" s="56"/>
      <c r="WIY159" s="57"/>
      <c r="WIZ159" s="54"/>
      <c r="WJA159" s="54"/>
      <c r="WJB159" s="54"/>
      <c r="WJC159" s="58"/>
      <c r="WJD159" s="58"/>
      <c r="WJE159" s="58"/>
      <c r="WJF159" s="58"/>
      <c r="WJG159" s="59"/>
      <c r="WJH159" s="60"/>
      <c r="WJI159" s="54"/>
      <c r="WJJ159" s="54"/>
      <c r="WJK159" s="36"/>
      <c r="WJL159" s="55"/>
      <c r="WJM159" s="54"/>
      <c r="WJN159" s="56"/>
      <c r="WJO159" s="57"/>
      <c r="WJP159" s="54"/>
      <c r="WJQ159" s="54"/>
      <c r="WJR159" s="54"/>
      <c r="WJS159" s="58"/>
      <c r="WJT159" s="58"/>
      <c r="WJU159" s="58"/>
      <c r="WJV159" s="58"/>
      <c r="WJW159" s="59"/>
      <c r="WJX159" s="60"/>
      <c r="WJY159" s="54"/>
      <c r="WJZ159" s="54"/>
      <c r="WKA159" s="36"/>
      <c r="WKB159" s="55"/>
      <c r="WKC159" s="54"/>
      <c r="WKD159" s="56"/>
      <c r="WKE159" s="57"/>
      <c r="WKF159" s="54"/>
      <c r="WKG159" s="54"/>
      <c r="WKH159" s="54"/>
      <c r="WKI159" s="58"/>
      <c r="WKJ159" s="58"/>
      <c r="WKK159" s="58"/>
      <c r="WKL159" s="58"/>
      <c r="WKM159" s="59"/>
      <c r="WKN159" s="60"/>
      <c r="WKO159" s="54"/>
      <c r="WKP159" s="54"/>
      <c r="WKQ159" s="36"/>
      <c r="WKR159" s="55"/>
      <c r="WKS159" s="54"/>
      <c r="WKT159" s="56"/>
      <c r="WKU159" s="57"/>
      <c r="WKV159" s="54"/>
      <c r="WKW159" s="54"/>
      <c r="WKX159" s="54"/>
      <c r="WKY159" s="58"/>
      <c r="WKZ159" s="58"/>
      <c r="WLA159" s="58"/>
      <c r="WLB159" s="58"/>
      <c r="WLC159" s="59"/>
      <c r="WLD159" s="60"/>
      <c r="WLE159" s="54"/>
      <c r="WLF159" s="54"/>
      <c r="WLG159" s="36"/>
      <c r="WLH159" s="55"/>
      <c r="WLI159" s="54"/>
      <c r="WLJ159" s="56"/>
      <c r="WLK159" s="57"/>
      <c r="WLL159" s="54"/>
      <c r="WLM159" s="54"/>
      <c r="WLN159" s="54"/>
      <c r="WLO159" s="58"/>
      <c r="WLP159" s="58"/>
      <c r="WLQ159" s="58"/>
      <c r="WLR159" s="58"/>
      <c r="WLS159" s="59"/>
      <c r="WLT159" s="60"/>
      <c r="WLU159" s="54"/>
      <c r="WLV159" s="54"/>
      <c r="WLW159" s="36"/>
      <c r="WLX159" s="55"/>
      <c r="WLY159" s="54"/>
      <c r="WLZ159" s="56"/>
      <c r="WMA159" s="57"/>
      <c r="WMB159" s="54"/>
      <c r="WMC159" s="54"/>
      <c r="WMD159" s="54"/>
      <c r="WME159" s="58"/>
      <c r="WMF159" s="58"/>
      <c r="WMG159" s="58"/>
      <c r="WMH159" s="58"/>
      <c r="WMI159" s="59"/>
      <c r="WMJ159" s="60"/>
      <c r="WMK159" s="54"/>
      <c r="WML159" s="54"/>
      <c r="WMM159" s="36"/>
      <c r="WMN159" s="55"/>
      <c r="WMO159" s="54"/>
      <c r="WMP159" s="56"/>
      <c r="WMQ159" s="57"/>
      <c r="WMR159" s="54"/>
      <c r="WMS159" s="54"/>
      <c r="WMT159" s="54"/>
      <c r="WMU159" s="58"/>
      <c r="WMV159" s="58"/>
      <c r="WMW159" s="58"/>
      <c r="WMX159" s="58"/>
      <c r="WMY159" s="59"/>
      <c r="WMZ159" s="60"/>
      <c r="WNA159" s="54"/>
      <c r="WNB159" s="54"/>
      <c r="WNC159" s="36"/>
      <c r="WND159" s="55"/>
      <c r="WNE159" s="54"/>
      <c r="WNF159" s="56"/>
      <c r="WNG159" s="57"/>
      <c r="WNH159" s="54"/>
      <c r="WNI159" s="54"/>
      <c r="WNJ159" s="54"/>
      <c r="WNK159" s="58"/>
      <c r="WNL159" s="58"/>
      <c r="WNM159" s="58"/>
      <c r="WNN159" s="58"/>
      <c r="WNO159" s="59"/>
      <c r="WNP159" s="60"/>
      <c r="WNQ159" s="54"/>
      <c r="WNR159" s="54"/>
      <c r="WNS159" s="36"/>
      <c r="WNT159" s="55"/>
      <c r="WNU159" s="54"/>
      <c r="WNV159" s="56"/>
      <c r="WNW159" s="57"/>
      <c r="WNX159" s="54"/>
      <c r="WNY159" s="54"/>
      <c r="WNZ159" s="54"/>
      <c r="WOA159" s="58"/>
      <c r="WOB159" s="58"/>
      <c r="WOC159" s="58"/>
      <c r="WOD159" s="58"/>
      <c r="WOE159" s="59"/>
      <c r="WOF159" s="60"/>
      <c r="WOG159" s="54"/>
      <c r="WOH159" s="54"/>
      <c r="WOI159" s="36"/>
      <c r="WOJ159" s="55"/>
      <c r="WOK159" s="54"/>
      <c r="WOL159" s="56"/>
      <c r="WOM159" s="57"/>
      <c r="WON159" s="54"/>
      <c r="WOO159" s="54"/>
      <c r="WOP159" s="54"/>
      <c r="WOQ159" s="58"/>
      <c r="WOR159" s="58"/>
      <c r="WOS159" s="58"/>
      <c r="WOT159" s="58"/>
      <c r="WOU159" s="59"/>
      <c r="WOV159" s="60"/>
      <c r="WOW159" s="54"/>
      <c r="WOX159" s="54"/>
      <c r="WOY159" s="36"/>
      <c r="WOZ159" s="55"/>
      <c r="WPA159" s="54"/>
      <c r="WPB159" s="56"/>
      <c r="WPC159" s="57"/>
      <c r="WPD159" s="54"/>
      <c r="WPE159" s="54"/>
      <c r="WPF159" s="54"/>
      <c r="WPG159" s="58"/>
      <c r="WPH159" s="58"/>
      <c r="WPI159" s="58"/>
      <c r="WPJ159" s="58"/>
      <c r="WPK159" s="59"/>
      <c r="WPL159" s="60"/>
      <c r="WPM159" s="54"/>
      <c r="WPN159" s="54"/>
      <c r="WPO159" s="36"/>
      <c r="WPP159" s="55"/>
      <c r="WPQ159" s="54"/>
      <c r="WPR159" s="56"/>
      <c r="WPS159" s="57"/>
      <c r="WPT159" s="54"/>
      <c r="WPU159" s="54"/>
      <c r="WPV159" s="54"/>
      <c r="WPW159" s="58"/>
      <c r="WPX159" s="58"/>
      <c r="WPY159" s="58"/>
      <c r="WPZ159" s="58"/>
      <c r="WQA159" s="59"/>
      <c r="WQB159" s="60"/>
      <c r="WQC159" s="54"/>
      <c r="WQD159" s="54"/>
      <c r="WQE159" s="36"/>
      <c r="WQF159" s="55"/>
      <c r="WQG159" s="54"/>
      <c r="WQH159" s="56"/>
      <c r="WQI159" s="57"/>
      <c r="WQJ159" s="54"/>
      <c r="WQK159" s="54"/>
      <c r="WQL159" s="54"/>
      <c r="WQM159" s="58"/>
      <c r="WQN159" s="58"/>
      <c r="WQO159" s="58"/>
      <c r="WQP159" s="58"/>
      <c r="WQQ159" s="59"/>
      <c r="WQR159" s="60"/>
      <c r="WQS159" s="54"/>
      <c r="WQT159" s="54"/>
      <c r="WQU159" s="36"/>
      <c r="WQV159" s="55"/>
      <c r="WQW159" s="54"/>
      <c r="WQX159" s="56"/>
      <c r="WQY159" s="57"/>
      <c r="WQZ159" s="54"/>
      <c r="WRA159" s="54"/>
      <c r="WRB159" s="54"/>
      <c r="WRC159" s="58"/>
      <c r="WRD159" s="58"/>
      <c r="WRE159" s="58"/>
      <c r="WRF159" s="58"/>
      <c r="WRG159" s="59"/>
      <c r="WRH159" s="60"/>
      <c r="WRI159" s="54"/>
      <c r="WRJ159" s="54"/>
      <c r="WRK159" s="36"/>
      <c r="WRL159" s="55"/>
      <c r="WRM159" s="54"/>
      <c r="WRN159" s="56"/>
      <c r="WRO159" s="57"/>
      <c r="WRP159" s="54"/>
      <c r="WRQ159" s="54"/>
      <c r="WRR159" s="54"/>
      <c r="WRS159" s="58"/>
      <c r="WRT159" s="58"/>
      <c r="WRU159" s="58"/>
      <c r="WRV159" s="58"/>
      <c r="WRW159" s="59"/>
      <c r="WRX159" s="60"/>
      <c r="WRY159" s="54"/>
      <c r="WRZ159" s="54"/>
      <c r="WSA159" s="36"/>
      <c r="WSB159" s="55"/>
      <c r="WSC159" s="54"/>
      <c r="WSD159" s="56"/>
      <c r="WSE159" s="57"/>
      <c r="WSF159" s="54"/>
      <c r="WSG159" s="54"/>
      <c r="WSH159" s="54"/>
      <c r="WSI159" s="58"/>
      <c r="WSJ159" s="58"/>
      <c r="WSK159" s="58"/>
      <c r="WSL159" s="58"/>
      <c r="WSM159" s="59"/>
      <c r="WSN159" s="60"/>
      <c r="WSO159" s="54"/>
      <c r="WSP159" s="54"/>
      <c r="WSQ159" s="36"/>
      <c r="WSR159" s="55"/>
      <c r="WSS159" s="54"/>
      <c r="WST159" s="56"/>
      <c r="WSU159" s="57"/>
      <c r="WSV159" s="54"/>
      <c r="WSW159" s="54"/>
      <c r="WSX159" s="54"/>
      <c r="WSY159" s="58"/>
      <c r="WSZ159" s="58"/>
      <c r="WTA159" s="58"/>
      <c r="WTB159" s="58"/>
      <c r="WTC159" s="59"/>
      <c r="WTD159" s="60"/>
      <c r="WTE159" s="54"/>
      <c r="WTF159" s="54"/>
      <c r="WTG159" s="36"/>
      <c r="WTH159" s="55"/>
      <c r="WTI159" s="54"/>
      <c r="WTJ159" s="56"/>
      <c r="WTK159" s="57"/>
      <c r="WTL159" s="54"/>
      <c r="WTM159" s="54"/>
      <c r="WTN159" s="54"/>
      <c r="WTO159" s="58"/>
      <c r="WTP159" s="58"/>
      <c r="WTQ159" s="58"/>
      <c r="WTR159" s="58"/>
      <c r="WTS159" s="59"/>
      <c r="WTT159" s="60"/>
      <c r="WTU159" s="54"/>
      <c r="WTV159" s="54"/>
      <c r="WTW159" s="36"/>
      <c r="WTX159" s="55"/>
      <c r="WTY159" s="54"/>
      <c r="WTZ159" s="56"/>
      <c r="WUA159" s="57"/>
      <c r="WUB159" s="54"/>
      <c r="WUC159" s="54"/>
      <c r="WUD159" s="54"/>
      <c r="WUE159" s="58"/>
      <c r="WUF159" s="58"/>
      <c r="WUG159" s="58"/>
      <c r="WUH159" s="58"/>
      <c r="WUI159" s="59"/>
      <c r="WUJ159" s="60"/>
      <c r="WUK159" s="54"/>
      <c r="WUL159" s="54"/>
      <c r="WUM159" s="36"/>
      <c r="WUN159" s="55"/>
      <c r="WUO159" s="54"/>
      <c r="WUP159" s="56"/>
      <c r="WUQ159" s="57"/>
      <c r="WUR159" s="54"/>
      <c r="WUS159" s="54"/>
      <c r="WUT159" s="54"/>
      <c r="WUU159" s="58"/>
      <c r="WUV159" s="58"/>
      <c r="WUW159" s="58"/>
      <c r="WUX159" s="58"/>
      <c r="WUY159" s="59"/>
      <c r="WUZ159" s="60"/>
      <c r="WVA159" s="54"/>
      <c r="WVB159" s="54"/>
      <c r="WVC159" s="36"/>
      <c r="WVD159" s="55"/>
      <c r="WVE159" s="54"/>
      <c r="WVF159" s="56"/>
      <c r="WVG159" s="57"/>
      <c r="WVH159" s="54"/>
      <c r="WVI159" s="54"/>
      <c r="WVJ159" s="54"/>
      <c r="WVK159" s="58"/>
      <c r="WVL159" s="58"/>
      <c r="WVM159" s="58"/>
      <c r="WVN159" s="58"/>
      <c r="WVO159" s="59"/>
      <c r="WVP159" s="60"/>
      <c r="WVQ159" s="54"/>
      <c r="WVR159" s="54"/>
      <c r="WVS159" s="36"/>
      <c r="WVT159" s="55"/>
      <c r="WVU159" s="54"/>
      <c r="WVV159" s="56"/>
      <c r="WVW159" s="57"/>
      <c r="WVX159" s="54"/>
      <c r="WVY159" s="54"/>
      <c r="WVZ159" s="54"/>
      <c r="WWA159" s="58"/>
      <c r="WWB159" s="58"/>
      <c r="WWC159" s="58"/>
      <c r="WWD159" s="58"/>
      <c r="WWE159" s="59"/>
      <c r="WWF159" s="60"/>
      <c r="WWG159" s="54"/>
      <c r="WWH159" s="54"/>
      <c r="WWI159" s="36"/>
      <c r="WWJ159" s="55"/>
      <c r="WWK159" s="54"/>
      <c r="WWL159" s="56"/>
      <c r="WWM159" s="57"/>
      <c r="WWN159" s="54"/>
      <c r="WWO159" s="54"/>
      <c r="WWP159" s="54"/>
      <c r="WWQ159" s="58"/>
      <c r="WWR159" s="58"/>
      <c r="WWS159" s="58"/>
      <c r="WWT159" s="58"/>
      <c r="WWU159" s="59"/>
      <c r="WWV159" s="60"/>
      <c r="WWW159" s="54"/>
      <c r="WWX159" s="54"/>
      <c r="WWY159" s="36"/>
      <c r="WWZ159" s="55"/>
      <c r="WXA159" s="54"/>
      <c r="WXB159" s="56"/>
      <c r="WXC159" s="57"/>
      <c r="WXD159" s="54"/>
      <c r="WXE159" s="54"/>
      <c r="WXF159" s="54"/>
      <c r="WXG159" s="58"/>
      <c r="WXH159" s="58"/>
      <c r="WXI159" s="58"/>
      <c r="WXJ159" s="58"/>
      <c r="WXK159" s="59"/>
      <c r="WXL159" s="60"/>
      <c r="WXM159" s="54"/>
      <c r="WXN159" s="54"/>
      <c r="WXO159" s="36"/>
      <c r="WXP159" s="55"/>
      <c r="WXQ159" s="54"/>
      <c r="WXR159" s="56"/>
      <c r="WXS159" s="57"/>
      <c r="WXT159" s="54"/>
      <c r="WXU159" s="54"/>
      <c r="WXV159" s="54"/>
      <c r="WXW159" s="58"/>
      <c r="WXX159" s="58"/>
      <c r="WXY159" s="58"/>
      <c r="WXZ159" s="58"/>
      <c r="WYA159" s="59"/>
      <c r="WYB159" s="60"/>
      <c r="WYC159" s="54"/>
      <c r="WYD159" s="54"/>
      <c r="WYE159" s="36"/>
      <c r="WYF159" s="55"/>
      <c r="WYG159" s="54"/>
      <c r="WYH159" s="56"/>
      <c r="WYI159" s="57"/>
      <c r="WYJ159" s="54"/>
      <c r="WYK159" s="54"/>
      <c r="WYL159" s="54"/>
      <c r="WYM159" s="58"/>
      <c r="WYN159" s="58"/>
      <c r="WYO159" s="58"/>
      <c r="WYP159" s="58"/>
      <c r="WYQ159" s="59"/>
      <c r="WYR159" s="60"/>
      <c r="WYS159" s="54"/>
      <c r="WYT159" s="54"/>
      <c r="WYU159" s="36"/>
      <c r="WYV159" s="55"/>
      <c r="WYW159" s="54"/>
      <c r="WYX159" s="56"/>
      <c r="WYY159" s="57"/>
      <c r="WYZ159" s="54"/>
      <c r="WZA159" s="54"/>
      <c r="WZB159" s="54"/>
      <c r="WZC159" s="58"/>
      <c r="WZD159" s="58"/>
      <c r="WZE159" s="58"/>
      <c r="WZF159" s="58"/>
      <c r="WZG159" s="59"/>
      <c r="WZH159" s="60"/>
      <c r="WZI159" s="54"/>
      <c r="WZJ159" s="54"/>
      <c r="WZK159" s="36"/>
      <c r="WZL159" s="55"/>
      <c r="WZM159" s="54"/>
      <c r="WZN159" s="56"/>
      <c r="WZO159" s="57"/>
      <c r="WZP159" s="54"/>
      <c r="WZQ159" s="54"/>
      <c r="WZR159" s="54"/>
      <c r="WZS159" s="58"/>
      <c r="WZT159" s="58"/>
      <c r="WZU159" s="58"/>
      <c r="WZV159" s="58"/>
      <c r="WZW159" s="59"/>
      <c r="WZX159" s="60"/>
      <c r="WZY159" s="54"/>
      <c r="WZZ159" s="54"/>
      <c r="XAA159" s="36"/>
      <c r="XAB159" s="55"/>
      <c r="XAC159" s="54"/>
      <c r="XAD159" s="56"/>
      <c r="XAE159" s="57"/>
      <c r="XAF159" s="54"/>
      <c r="XAG159" s="54"/>
      <c r="XAH159" s="54"/>
      <c r="XAI159" s="58"/>
      <c r="XAJ159" s="58"/>
      <c r="XAK159" s="58"/>
      <c r="XAL159" s="58"/>
      <c r="XAM159" s="59"/>
      <c r="XAN159" s="60"/>
      <c r="XAO159" s="54"/>
      <c r="XAP159" s="54"/>
      <c r="XAQ159" s="36"/>
      <c r="XAR159" s="55"/>
      <c r="XAS159" s="54"/>
      <c r="XAT159" s="56"/>
      <c r="XAU159" s="57"/>
      <c r="XAV159" s="54"/>
      <c r="XAW159" s="54"/>
      <c r="XAX159" s="54"/>
      <c r="XAY159" s="58"/>
      <c r="XAZ159" s="58"/>
      <c r="XBA159" s="58"/>
      <c r="XBB159" s="58"/>
      <c r="XBC159" s="59"/>
      <c r="XBD159" s="60"/>
      <c r="XBE159" s="54"/>
      <c r="XBF159" s="54"/>
      <c r="XBG159" s="36"/>
      <c r="XBH159" s="55"/>
      <c r="XBI159" s="54"/>
      <c r="XBJ159" s="56"/>
      <c r="XBK159" s="57"/>
      <c r="XBL159" s="54"/>
      <c r="XBM159" s="54"/>
      <c r="XBN159" s="54"/>
      <c r="XBO159" s="58"/>
      <c r="XBP159" s="58"/>
      <c r="XBQ159" s="58"/>
      <c r="XBR159" s="58"/>
      <c r="XBS159" s="59"/>
      <c r="XBT159" s="60"/>
      <c r="XBU159" s="54"/>
      <c r="XBV159" s="54"/>
      <c r="XBW159" s="36"/>
      <c r="XBX159" s="55"/>
      <c r="XBY159" s="54"/>
      <c r="XBZ159" s="56"/>
      <c r="XCA159" s="57"/>
      <c r="XCB159" s="54"/>
      <c r="XCC159" s="54"/>
      <c r="XCD159" s="54"/>
      <c r="XCE159" s="58"/>
      <c r="XCF159" s="58"/>
      <c r="XCG159" s="58"/>
      <c r="XCH159" s="58"/>
      <c r="XCI159" s="59"/>
      <c r="XCJ159" s="60"/>
      <c r="XCK159" s="54"/>
      <c r="XCL159" s="54"/>
      <c r="XCM159" s="36"/>
      <c r="XCN159" s="55"/>
      <c r="XCO159" s="54"/>
      <c r="XCP159" s="56"/>
      <c r="XCQ159" s="57"/>
      <c r="XCR159" s="54"/>
      <c r="XCS159" s="54"/>
      <c r="XCT159" s="54"/>
      <c r="XCU159" s="58"/>
      <c r="XCV159" s="58"/>
      <c r="XCW159" s="58"/>
      <c r="XCX159" s="58"/>
      <c r="XCY159" s="59"/>
      <c r="XCZ159" s="60"/>
      <c r="XDA159" s="54"/>
      <c r="XDB159" s="54"/>
      <c r="XDC159" s="36"/>
      <c r="XDD159" s="55"/>
      <c r="XDE159" s="54"/>
      <c r="XDF159" s="56"/>
      <c r="XDG159" s="57"/>
      <c r="XDH159" s="54"/>
      <c r="XDI159" s="54"/>
      <c r="XDJ159" s="54"/>
      <c r="XDK159" s="58"/>
      <c r="XDL159" s="58"/>
      <c r="XDM159" s="58"/>
      <c r="XDN159" s="58"/>
      <c r="XDO159" s="59"/>
      <c r="XDP159" s="60"/>
      <c r="XDQ159" s="54"/>
      <c r="XDR159" s="54"/>
      <c r="XDS159" s="36"/>
      <c r="XDT159" s="55"/>
      <c r="XDU159" s="54"/>
      <c r="XDV159" s="56"/>
      <c r="XDW159" s="57"/>
      <c r="XDX159" s="54"/>
      <c r="XDY159" s="54"/>
      <c r="XDZ159" s="54"/>
      <c r="XEA159" s="58"/>
      <c r="XEB159" s="58"/>
      <c r="XEC159" s="58"/>
      <c r="XED159" s="58"/>
      <c r="XEE159" s="59"/>
      <c r="XEF159" s="60"/>
      <c r="XEG159" s="54"/>
      <c r="XEH159" s="54"/>
      <c r="XEI159" s="36"/>
      <c r="XEJ159" s="55"/>
      <c r="XEK159" s="54"/>
      <c r="XEL159" s="56"/>
      <c r="XEM159" s="57"/>
      <c r="XEN159" s="54"/>
      <c r="XEO159" s="54"/>
      <c r="XEP159" s="54"/>
      <c r="XEQ159" s="58"/>
      <c r="XER159" s="58"/>
      <c r="XES159" s="58"/>
      <c r="XET159" s="58"/>
      <c r="XEU159" s="59"/>
    </row>
    <row r="160" spans="1:16375" s="39" customFormat="1" ht="12.75">
      <c r="A160" s="32">
        <v>30</v>
      </c>
      <c r="B160" s="13" t="s">
        <v>280</v>
      </c>
      <c r="C160" s="13" t="s">
        <v>12</v>
      </c>
      <c r="D160" s="38">
        <v>641</v>
      </c>
      <c r="E160" s="24" t="s">
        <v>38</v>
      </c>
      <c r="F160" s="13" t="s">
        <v>13</v>
      </c>
      <c r="G160" s="32">
        <v>150026941</v>
      </c>
      <c r="H160" s="14" t="s">
        <v>394</v>
      </c>
      <c r="I160" s="3" t="s">
        <v>41</v>
      </c>
      <c r="J160" s="35">
        <v>201954965</v>
      </c>
      <c r="K160" s="126" t="s">
        <v>479</v>
      </c>
      <c r="L160" s="126"/>
      <c r="M160" s="65">
        <v>700</v>
      </c>
      <c r="N160" s="67">
        <v>2746</v>
      </c>
      <c r="O160" s="44"/>
    </row>
    <row r="161" spans="1:15" s="39" customFormat="1" ht="12.75">
      <c r="A161" s="32">
        <v>31</v>
      </c>
      <c r="B161" s="13" t="s">
        <v>280</v>
      </c>
      <c r="C161" s="13" t="s">
        <v>56</v>
      </c>
      <c r="D161" s="13">
        <v>642</v>
      </c>
      <c r="E161" s="24" t="s">
        <v>57</v>
      </c>
      <c r="F161" s="13" t="s">
        <v>43</v>
      </c>
      <c r="G161" s="32">
        <v>150048424</v>
      </c>
      <c r="H161" s="42" t="s">
        <v>398</v>
      </c>
      <c r="I161" s="13" t="s">
        <v>60</v>
      </c>
      <c r="J161" s="35">
        <v>204876606</v>
      </c>
      <c r="K161" s="126" t="s">
        <v>397</v>
      </c>
      <c r="L161" s="126"/>
      <c r="M161" s="65">
        <v>6175</v>
      </c>
      <c r="N161" s="66">
        <v>6175</v>
      </c>
      <c r="O161" s="44">
        <f>216.12</f>
        <v>216.12</v>
      </c>
    </row>
    <row r="162" spans="1:15" s="39" customFormat="1" ht="12.75">
      <c r="A162" s="40">
        <v>32</v>
      </c>
      <c r="B162" s="13" t="s">
        <v>280</v>
      </c>
      <c r="C162" s="13" t="s">
        <v>15</v>
      </c>
      <c r="D162" s="13">
        <v>665</v>
      </c>
      <c r="E162" s="24" t="s">
        <v>391</v>
      </c>
      <c r="F162" s="13" t="s">
        <v>13</v>
      </c>
      <c r="G162" s="32">
        <v>150026928</v>
      </c>
      <c r="H162" s="14" t="s">
        <v>392</v>
      </c>
      <c r="I162" s="13" t="s">
        <v>393</v>
      </c>
      <c r="J162" s="35">
        <v>204970031</v>
      </c>
      <c r="K162" s="126" t="s">
        <v>478</v>
      </c>
      <c r="L162" s="126"/>
      <c r="M162" s="65">
        <v>463.88</v>
      </c>
      <c r="N162" s="66">
        <v>4488</v>
      </c>
      <c r="O162" s="44">
        <v>463.88</v>
      </c>
    </row>
    <row r="163" spans="1:15" s="39" customFormat="1" ht="12.75">
      <c r="A163" s="32">
        <v>33</v>
      </c>
      <c r="B163" s="13" t="s">
        <v>280</v>
      </c>
      <c r="C163" s="13" t="s">
        <v>12</v>
      </c>
      <c r="D163" s="13">
        <v>724</v>
      </c>
      <c r="E163" s="24" t="s">
        <v>347</v>
      </c>
      <c r="F163" s="13" t="s">
        <v>13</v>
      </c>
      <c r="G163" s="32">
        <v>150026953</v>
      </c>
      <c r="H163" s="13" t="s">
        <v>395</v>
      </c>
      <c r="I163" s="3" t="s">
        <v>396</v>
      </c>
      <c r="J163" s="35">
        <v>205277369</v>
      </c>
      <c r="K163" s="126" t="s">
        <v>479</v>
      </c>
      <c r="L163" s="126"/>
      <c r="M163" s="65">
        <v>300</v>
      </c>
      <c r="N163" s="66">
        <v>3575</v>
      </c>
      <c r="O163" s="44">
        <f>25+25</f>
        <v>50</v>
      </c>
    </row>
    <row r="164" spans="1:15" s="4" customFormat="1" ht="22.5">
      <c r="A164" s="32">
        <v>34</v>
      </c>
      <c r="B164" s="13" t="s">
        <v>280</v>
      </c>
      <c r="C164" s="13" t="s">
        <v>56</v>
      </c>
      <c r="D164" s="13">
        <v>792</v>
      </c>
      <c r="E164" s="24" t="s">
        <v>418</v>
      </c>
      <c r="F164" s="13" t="s">
        <v>369</v>
      </c>
      <c r="G164" s="32">
        <v>150001345</v>
      </c>
      <c r="H164" s="13" t="s">
        <v>420</v>
      </c>
      <c r="I164" s="3" t="s">
        <v>421</v>
      </c>
      <c r="J164" s="35">
        <v>404437695</v>
      </c>
      <c r="K164" s="126" t="s">
        <v>419</v>
      </c>
      <c r="L164" s="126"/>
      <c r="M164" s="64">
        <v>58950</v>
      </c>
      <c r="N164" s="66">
        <v>145200</v>
      </c>
      <c r="O164" s="34"/>
    </row>
    <row r="165" spans="1:15" s="4" customFormat="1" ht="11.25">
      <c r="A165" s="40">
        <v>35</v>
      </c>
      <c r="B165" s="13" t="s">
        <v>280</v>
      </c>
      <c r="C165" s="13" t="s">
        <v>15</v>
      </c>
      <c r="D165" s="13">
        <v>793</v>
      </c>
      <c r="E165" s="24" t="s">
        <v>337</v>
      </c>
      <c r="F165" s="13" t="s">
        <v>13</v>
      </c>
      <c r="G165" s="32">
        <v>150050787</v>
      </c>
      <c r="H165" s="13" t="s">
        <v>416</v>
      </c>
      <c r="I165" s="13" t="s">
        <v>417</v>
      </c>
      <c r="J165" s="35">
        <v>205035282</v>
      </c>
      <c r="K165" s="126" t="s">
        <v>415</v>
      </c>
      <c r="L165" s="126"/>
      <c r="M165" s="64">
        <v>180</v>
      </c>
      <c r="N165" s="66">
        <v>183</v>
      </c>
      <c r="O165" s="34"/>
    </row>
    <row r="166" spans="1:15" s="4" customFormat="1" ht="11.25">
      <c r="A166" s="32">
        <v>36</v>
      </c>
      <c r="B166" s="13" t="s">
        <v>280</v>
      </c>
      <c r="C166" s="13" t="s">
        <v>15</v>
      </c>
      <c r="D166" s="13">
        <v>794</v>
      </c>
      <c r="E166" s="5" t="s">
        <v>373</v>
      </c>
      <c r="F166" s="13" t="s">
        <v>369</v>
      </c>
      <c r="G166" s="32">
        <v>150002244</v>
      </c>
      <c r="H166" s="13" t="s">
        <v>375</v>
      </c>
      <c r="I166" s="33" t="s">
        <v>376</v>
      </c>
      <c r="J166" s="35">
        <v>454406170</v>
      </c>
      <c r="K166" s="126" t="s">
        <v>374</v>
      </c>
      <c r="L166" s="126"/>
      <c r="M166" s="64">
        <v>56700</v>
      </c>
      <c r="N166" s="66">
        <v>173200</v>
      </c>
      <c r="O166" s="34">
        <f>5500</f>
        <v>5500</v>
      </c>
    </row>
    <row r="167" spans="1:15" s="39" customFormat="1" ht="12.75">
      <c r="A167" s="32">
        <v>37</v>
      </c>
      <c r="B167" s="13" t="s">
        <v>280</v>
      </c>
      <c r="C167" s="32" t="s">
        <v>15</v>
      </c>
      <c r="D167" s="43">
        <v>795</v>
      </c>
      <c r="E167" s="41" t="s">
        <v>340</v>
      </c>
      <c r="F167" s="13" t="s">
        <v>13</v>
      </c>
      <c r="G167" s="38">
        <v>150019912</v>
      </c>
      <c r="H167" s="42" t="s">
        <v>388</v>
      </c>
      <c r="I167" s="43" t="s">
        <v>268</v>
      </c>
      <c r="J167" s="35">
        <v>204544029</v>
      </c>
      <c r="K167" s="126" t="s">
        <v>476</v>
      </c>
      <c r="L167" s="126"/>
      <c r="M167" s="65">
        <v>1700</v>
      </c>
      <c r="N167" s="68">
        <v>3080</v>
      </c>
      <c r="O167" s="44">
        <v>29.5</v>
      </c>
    </row>
    <row r="168" spans="1:15" s="39" customFormat="1" ht="12.75">
      <c r="A168" s="40">
        <v>38</v>
      </c>
      <c r="B168" s="13" t="s">
        <v>280</v>
      </c>
      <c r="C168" s="13" t="s">
        <v>12</v>
      </c>
      <c r="D168" s="13">
        <v>798</v>
      </c>
      <c r="E168" s="47" t="s">
        <v>314</v>
      </c>
      <c r="F168" s="13" t="s">
        <v>369</v>
      </c>
      <c r="G168" s="32">
        <v>150004408</v>
      </c>
      <c r="H168" s="49" t="s">
        <v>436</v>
      </c>
      <c r="I168" s="3" t="s">
        <v>95</v>
      </c>
      <c r="J168" s="35">
        <v>401988890</v>
      </c>
      <c r="K168" s="126" t="s">
        <v>435</v>
      </c>
      <c r="L168" s="126"/>
      <c r="M168" s="64">
        <v>11950</v>
      </c>
      <c r="N168" s="66">
        <v>48760</v>
      </c>
      <c r="O168" s="51"/>
    </row>
    <row r="169" spans="1:15" s="4" customFormat="1" ht="11.25">
      <c r="A169" s="32">
        <v>39</v>
      </c>
      <c r="B169" s="13" t="s">
        <v>280</v>
      </c>
      <c r="C169" s="13" t="s">
        <v>15</v>
      </c>
      <c r="D169" s="13">
        <v>805</v>
      </c>
      <c r="E169" s="5" t="s">
        <v>370</v>
      </c>
      <c r="F169" s="13" t="s">
        <v>369</v>
      </c>
      <c r="G169" s="32">
        <v>140030475</v>
      </c>
      <c r="H169" s="13" t="s">
        <v>372</v>
      </c>
      <c r="I169" s="33" t="s">
        <v>304</v>
      </c>
      <c r="J169" s="30">
        <v>203862855</v>
      </c>
      <c r="K169" s="126" t="s">
        <v>371</v>
      </c>
      <c r="L169" s="126"/>
      <c r="M169" s="64">
        <v>49000</v>
      </c>
      <c r="N169" s="66">
        <v>163890</v>
      </c>
      <c r="O169" s="34">
        <f>1500</f>
        <v>1500</v>
      </c>
    </row>
    <row r="170" spans="1:15" s="4" customFormat="1" ht="19.5">
      <c r="A170" s="40">
        <v>40</v>
      </c>
      <c r="B170" s="13" t="s">
        <v>280</v>
      </c>
      <c r="C170" s="13" t="s">
        <v>15</v>
      </c>
      <c r="D170" s="13">
        <v>853</v>
      </c>
      <c r="E170" s="5" t="s">
        <v>377</v>
      </c>
      <c r="F170" s="14" t="s">
        <v>295</v>
      </c>
      <c r="G170" s="32">
        <v>140030893</v>
      </c>
      <c r="H170" s="13" t="s">
        <v>379</v>
      </c>
      <c r="I170" s="33" t="s">
        <v>306</v>
      </c>
      <c r="J170" s="35">
        <v>204954843</v>
      </c>
      <c r="K170" s="126" t="s">
        <v>378</v>
      </c>
      <c r="L170" s="126"/>
      <c r="M170" s="64">
        <v>259146</v>
      </c>
      <c r="N170" s="128">
        <v>325699</v>
      </c>
      <c r="O170" s="34"/>
    </row>
    <row r="171" spans="1:15" s="4" customFormat="1" ht="11.25">
      <c r="A171" s="32">
        <v>41</v>
      </c>
      <c r="B171" s="13" t="s">
        <v>280</v>
      </c>
      <c r="C171" s="13" t="s">
        <v>15</v>
      </c>
      <c r="D171" s="13">
        <v>853</v>
      </c>
      <c r="E171" s="5" t="s">
        <v>380</v>
      </c>
      <c r="F171" s="14" t="s">
        <v>295</v>
      </c>
      <c r="G171" s="32">
        <v>150002246</v>
      </c>
      <c r="H171" s="13" t="s">
        <v>382</v>
      </c>
      <c r="I171" s="33" t="s">
        <v>376</v>
      </c>
      <c r="J171" s="35">
        <v>454406170</v>
      </c>
      <c r="K171" s="126" t="s">
        <v>381</v>
      </c>
      <c r="L171" s="126"/>
      <c r="M171" s="64">
        <v>33400</v>
      </c>
      <c r="N171" s="129"/>
      <c r="O171" s="34">
        <f>2500</f>
        <v>2500</v>
      </c>
    </row>
  </sheetData>
  <mergeCells count="50">
    <mergeCell ref="K2:L2"/>
    <mergeCell ref="K130:L130"/>
    <mergeCell ref="N131:N133"/>
    <mergeCell ref="N134:N135"/>
    <mergeCell ref="N139:N142"/>
    <mergeCell ref="N143:N150"/>
    <mergeCell ref="N154:N155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69:L169"/>
    <mergeCell ref="K170:L170"/>
    <mergeCell ref="K171:L171"/>
    <mergeCell ref="N156:N158"/>
    <mergeCell ref="N170:N171"/>
    <mergeCell ref="K164:L164"/>
    <mergeCell ref="K165:L165"/>
    <mergeCell ref="K166:L166"/>
    <mergeCell ref="K167:L167"/>
    <mergeCell ref="K168:L168"/>
    <mergeCell ref="K159:L159"/>
    <mergeCell ref="K160:L160"/>
    <mergeCell ref="K161:L161"/>
    <mergeCell ref="K162:L162"/>
    <mergeCell ref="K163:L163"/>
  </mergeCells>
  <conditionalFormatting sqref="J23:J27">
    <cfRule type="containsBlanks" dxfId="0" priority="7">
      <formula>LEN(TRIM(J23))=0</formula>
    </cfRule>
  </conditionalFormatting>
  <conditionalFormatting sqref="D131:D17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{9C17726F-5BB0-43FB-82AF-8071D36AE30F}</x14:id>
        </ext>
      </extLst>
    </cfRule>
  </conditionalFormatting>
  <conditionalFormatting sqref="D131:D13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{3D22A1F6-D224-4698-ABC1-A4C099C6875D}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17726F-5BB0-43FB-82AF-8071D36AE3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D131:D171</xm:sqref>
        </x14:conditionalFormatting>
        <x14:conditionalFormatting xmlns:xm="http://schemas.microsoft.com/office/excel/2006/main">
          <x14:cfRule type="dataBar" id="{3D22A1F6-D224-4698-ABC1-A4C099C687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D131:D135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44"/>
  <sheetViews>
    <sheetView topLeftCell="D2" workbookViewId="0">
      <pane ySplit="1" topLeftCell="A3" activePane="bottomLeft" state="frozen"/>
      <selection activeCell="A2" sqref="A2"/>
      <selection pane="bottomLeft" activeCell="R33" sqref="R6:R33"/>
    </sheetView>
  </sheetViews>
  <sheetFormatPr defaultRowHeight="15"/>
  <cols>
    <col min="1" max="1" width="3.125" style="15" bestFit="1" customWidth="1"/>
    <col min="2" max="2" width="12.25" style="15" bestFit="1" customWidth="1"/>
    <col min="3" max="3" width="10.75" style="15" bestFit="1" customWidth="1"/>
    <col min="4" max="4" width="9.875" style="15" bestFit="1" customWidth="1"/>
    <col min="5" max="5" width="11.375" style="15" bestFit="1" customWidth="1"/>
    <col min="6" max="6" width="31.125" style="23" bestFit="1" customWidth="1"/>
    <col min="7" max="7" width="22" style="15" bestFit="1" customWidth="1"/>
    <col min="8" max="8" width="14.125" style="15" customWidth="1"/>
    <col min="9" max="9" width="18.75" style="15" customWidth="1"/>
    <col min="10" max="10" width="26.125" style="23" customWidth="1"/>
    <col min="11" max="11" width="12.625" style="15" customWidth="1"/>
    <col min="12" max="13" width="10" style="15" customWidth="1"/>
    <col min="14" max="14" width="15.5" style="15" bestFit="1" customWidth="1"/>
    <col min="15" max="15" width="12.5" style="15" bestFit="1" customWidth="1"/>
    <col min="16" max="16" width="12.25" style="15" customWidth="1"/>
    <col min="17" max="17" width="9" style="15"/>
    <col min="18" max="18" width="10.25" style="15" bestFit="1" customWidth="1"/>
    <col min="19" max="16384" width="9" style="15"/>
  </cols>
  <sheetData>
    <row r="1" spans="1:18">
      <c r="O1" s="15">
        <v>2014</v>
      </c>
    </row>
    <row r="3" spans="1:18" s="22" customFormat="1" ht="25.5">
      <c r="A3" s="21" t="s">
        <v>368</v>
      </c>
      <c r="B3" s="31" t="s">
        <v>0</v>
      </c>
      <c r="C3" s="31" t="s">
        <v>1</v>
      </c>
      <c r="D3" s="31" t="s">
        <v>2</v>
      </c>
      <c r="E3" s="31" t="s">
        <v>480</v>
      </c>
      <c r="F3" s="31" t="s">
        <v>3</v>
      </c>
      <c r="G3" s="31" t="s">
        <v>4</v>
      </c>
      <c r="H3" s="31" t="s">
        <v>471</v>
      </c>
      <c r="I3" s="31" t="s">
        <v>6</v>
      </c>
      <c r="J3" s="31" t="s">
        <v>7</v>
      </c>
      <c r="K3" s="31" t="s">
        <v>8</v>
      </c>
      <c r="L3" s="131" t="s">
        <v>9</v>
      </c>
      <c r="M3" s="131"/>
      <c r="N3" s="31" t="s">
        <v>10</v>
      </c>
      <c r="O3" s="20" t="s">
        <v>11</v>
      </c>
      <c r="P3" s="31" t="s">
        <v>481</v>
      </c>
    </row>
    <row r="4" spans="1:18" s="39" customFormat="1" ht="12.75">
      <c r="A4" s="32">
        <v>1</v>
      </c>
      <c r="B4" s="13" t="s">
        <v>280</v>
      </c>
      <c r="C4" s="32" t="s">
        <v>15</v>
      </c>
      <c r="D4" s="135" t="s">
        <v>308</v>
      </c>
      <c r="E4" s="128">
        <v>422706.152</v>
      </c>
      <c r="F4" s="24" t="s">
        <v>384</v>
      </c>
      <c r="G4" s="13" t="s">
        <v>43</v>
      </c>
      <c r="H4" s="32">
        <v>150003816</v>
      </c>
      <c r="I4" s="14" t="s">
        <v>385</v>
      </c>
      <c r="J4" s="13" t="s">
        <v>81</v>
      </c>
      <c r="K4" s="30">
        <v>204493002</v>
      </c>
      <c r="L4" s="126" t="s">
        <v>475</v>
      </c>
      <c r="M4" s="126"/>
      <c r="N4" s="64">
        <v>3688.8</v>
      </c>
      <c r="O4" s="69">
        <f>413.4+436.23</f>
        <v>849.63</v>
      </c>
      <c r="P4" s="50" t="s">
        <v>482</v>
      </c>
      <c r="Q4" s="63"/>
    </row>
    <row r="5" spans="1:18" s="39" customFormat="1" ht="12.75">
      <c r="A5" s="40">
        <v>2</v>
      </c>
      <c r="B5" s="13" t="s">
        <v>280</v>
      </c>
      <c r="C5" s="32" t="s">
        <v>15</v>
      </c>
      <c r="D5" s="137"/>
      <c r="E5" s="130"/>
      <c r="F5" s="41" t="s">
        <v>384</v>
      </c>
      <c r="G5" s="13" t="s">
        <v>43</v>
      </c>
      <c r="H5" s="38">
        <v>150003838</v>
      </c>
      <c r="I5" s="42" t="s">
        <v>386</v>
      </c>
      <c r="J5" s="43" t="s">
        <v>81</v>
      </c>
      <c r="K5" s="35">
        <v>204493002</v>
      </c>
      <c r="L5" s="126" t="s">
        <v>475</v>
      </c>
      <c r="M5" s="126"/>
      <c r="N5" s="65">
        <v>5533.2</v>
      </c>
      <c r="O5" s="70"/>
      <c r="P5" s="50" t="s">
        <v>482</v>
      </c>
      <c r="Q5" s="63"/>
    </row>
    <row r="6" spans="1:18" s="39" customFormat="1" ht="12.75">
      <c r="A6" s="32">
        <v>3</v>
      </c>
      <c r="B6" s="13" t="s">
        <v>280</v>
      </c>
      <c r="C6" s="13" t="s">
        <v>56</v>
      </c>
      <c r="D6" s="136"/>
      <c r="E6" s="129"/>
      <c r="F6" s="41" t="s">
        <v>82</v>
      </c>
      <c r="G6" s="13" t="s">
        <v>43</v>
      </c>
      <c r="H6" s="38">
        <v>150003691</v>
      </c>
      <c r="I6" s="42" t="s">
        <v>387</v>
      </c>
      <c r="J6" s="43" t="s">
        <v>85</v>
      </c>
      <c r="K6" s="35">
        <v>204976302</v>
      </c>
      <c r="L6" s="126" t="s">
        <v>475</v>
      </c>
      <c r="M6" s="126"/>
      <c r="N6" s="65">
        <v>261687.6</v>
      </c>
      <c r="O6" s="70">
        <f>15706.79+13714.32</f>
        <v>29421.11</v>
      </c>
      <c r="P6" s="50" t="s">
        <v>482</v>
      </c>
    </row>
    <row r="7" spans="1:18" s="4" customFormat="1" ht="12.75">
      <c r="A7" s="32">
        <v>4</v>
      </c>
      <c r="B7" s="13" t="s">
        <v>280</v>
      </c>
      <c r="C7" s="13" t="s">
        <v>15</v>
      </c>
      <c r="D7" s="135" t="s">
        <v>309</v>
      </c>
      <c r="E7" s="128">
        <v>759.00000000000011</v>
      </c>
      <c r="F7" s="47" t="s">
        <v>320</v>
      </c>
      <c r="G7" s="13" t="s">
        <v>13</v>
      </c>
      <c r="H7" s="32">
        <v>150066720</v>
      </c>
      <c r="I7" s="52" t="s">
        <v>443</v>
      </c>
      <c r="J7" s="13" t="s">
        <v>444</v>
      </c>
      <c r="K7" s="35">
        <v>404878806</v>
      </c>
      <c r="L7" s="126" t="s">
        <v>442</v>
      </c>
      <c r="M7" s="126"/>
      <c r="N7" s="64">
        <v>162</v>
      </c>
      <c r="O7" s="71"/>
      <c r="P7" s="50" t="s">
        <v>482</v>
      </c>
    </row>
    <row r="8" spans="1:18" s="39" customFormat="1" ht="12.75">
      <c r="A8" s="32">
        <v>5</v>
      </c>
      <c r="B8" s="13" t="s">
        <v>280</v>
      </c>
      <c r="C8" s="13" t="s">
        <v>15</v>
      </c>
      <c r="D8" s="136"/>
      <c r="E8" s="129"/>
      <c r="F8" s="47" t="s">
        <v>320</v>
      </c>
      <c r="G8" s="13" t="s">
        <v>13</v>
      </c>
      <c r="H8" s="32">
        <v>150073452</v>
      </c>
      <c r="I8" s="52" t="s">
        <v>453</v>
      </c>
      <c r="J8" s="13" t="s">
        <v>444</v>
      </c>
      <c r="K8" s="35">
        <v>404878806</v>
      </c>
      <c r="L8" s="126" t="s">
        <v>474</v>
      </c>
      <c r="M8" s="126"/>
      <c r="N8" s="65">
        <v>498</v>
      </c>
      <c r="O8" s="70"/>
      <c r="P8" s="50" t="s">
        <v>482</v>
      </c>
    </row>
    <row r="9" spans="1:18" s="39" customFormat="1" ht="12.75">
      <c r="A9" s="40">
        <v>6</v>
      </c>
      <c r="B9" s="13" t="s">
        <v>280</v>
      </c>
      <c r="C9" s="13" t="s">
        <v>15</v>
      </c>
      <c r="D9" s="13">
        <v>22800000</v>
      </c>
      <c r="E9" s="66">
        <v>3740</v>
      </c>
      <c r="F9" s="5" t="s">
        <v>65</v>
      </c>
      <c r="G9" s="13" t="s">
        <v>13</v>
      </c>
      <c r="H9" s="32">
        <v>150048791</v>
      </c>
      <c r="I9" s="42" t="s">
        <v>400</v>
      </c>
      <c r="J9" s="13" t="s">
        <v>401</v>
      </c>
      <c r="K9" s="35">
        <v>204447312</v>
      </c>
      <c r="L9" s="126" t="s">
        <v>399</v>
      </c>
      <c r="M9" s="126"/>
      <c r="N9" s="65">
        <v>797.13</v>
      </c>
      <c r="O9" s="74">
        <v>797.13</v>
      </c>
      <c r="P9" s="50" t="s">
        <v>483</v>
      </c>
      <c r="R9" s="75"/>
    </row>
    <row r="10" spans="1:18" s="39" customFormat="1" ht="12.75">
      <c r="A10" s="32">
        <v>7</v>
      </c>
      <c r="B10" s="13" t="s">
        <v>280</v>
      </c>
      <c r="C10" s="13" t="s">
        <v>12</v>
      </c>
      <c r="D10" s="13">
        <v>30100000</v>
      </c>
      <c r="E10" s="66">
        <v>3432</v>
      </c>
      <c r="F10" s="5" t="s">
        <v>65</v>
      </c>
      <c r="G10" s="13" t="s">
        <v>13</v>
      </c>
      <c r="H10" s="32">
        <v>150048798</v>
      </c>
      <c r="I10" s="42" t="s">
        <v>402</v>
      </c>
      <c r="J10" s="13" t="s">
        <v>401</v>
      </c>
      <c r="K10" s="35">
        <v>204447312</v>
      </c>
      <c r="L10" s="126" t="s">
        <v>399</v>
      </c>
      <c r="M10" s="126"/>
      <c r="N10" s="65">
        <v>2021.55</v>
      </c>
      <c r="O10" s="74">
        <v>2021.55</v>
      </c>
      <c r="P10" s="50" t="s">
        <v>483</v>
      </c>
      <c r="R10" s="75"/>
    </row>
    <row r="11" spans="1:18" s="4" customFormat="1" ht="12.75">
      <c r="A11" s="32">
        <v>8</v>
      </c>
      <c r="B11" s="13" t="s">
        <v>280</v>
      </c>
      <c r="C11" s="13" t="s">
        <v>12</v>
      </c>
      <c r="D11" s="13">
        <v>31400000</v>
      </c>
      <c r="E11" s="66">
        <v>15860</v>
      </c>
      <c r="F11" s="5" t="s">
        <v>445</v>
      </c>
      <c r="G11" s="13" t="s">
        <v>369</v>
      </c>
      <c r="H11" s="32">
        <v>150002923</v>
      </c>
      <c r="I11" s="49" t="s">
        <v>447</v>
      </c>
      <c r="J11" s="3" t="s">
        <v>448</v>
      </c>
      <c r="K11" s="35">
        <v>202052054</v>
      </c>
      <c r="L11" s="126" t="s">
        <v>446</v>
      </c>
      <c r="M11" s="126"/>
      <c r="N11" s="64">
        <v>12720</v>
      </c>
      <c r="O11" s="74">
        <v>12720</v>
      </c>
      <c r="P11" s="50" t="s">
        <v>483</v>
      </c>
      <c r="R11" s="75"/>
    </row>
    <row r="12" spans="1:18" s="4" customFormat="1" ht="12.75">
      <c r="A12" s="32">
        <v>9</v>
      </c>
      <c r="B12" s="13" t="s">
        <v>280</v>
      </c>
      <c r="C12" s="13" t="s">
        <v>12</v>
      </c>
      <c r="D12" s="132">
        <v>33100000</v>
      </c>
      <c r="E12" s="128">
        <v>1724745</v>
      </c>
      <c r="F12" s="24" t="s">
        <v>411</v>
      </c>
      <c r="G12" s="14" t="s">
        <v>295</v>
      </c>
      <c r="H12" s="32">
        <v>140030892</v>
      </c>
      <c r="I12" s="13" t="s">
        <v>413</v>
      </c>
      <c r="J12" s="3" t="s">
        <v>414</v>
      </c>
      <c r="K12" s="35">
        <v>404901834</v>
      </c>
      <c r="L12" s="126" t="s">
        <v>412</v>
      </c>
      <c r="M12" s="126"/>
      <c r="N12" s="64">
        <f>15000*1.608</f>
        <v>24120</v>
      </c>
      <c r="O12" s="71">
        <v>14472</v>
      </c>
      <c r="P12" s="50" t="s">
        <v>482</v>
      </c>
      <c r="R12" s="75"/>
    </row>
    <row r="13" spans="1:18" s="4" customFormat="1" ht="12.75">
      <c r="A13" s="40">
        <v>10</v>
      </c>
      <c r="B13" s="13" t="s">
        <v>280</v>
      </c>
      <c r="C13" s="13" t="s">
        <v>15</v>
      </c>
      <c r="D13" s="133"/>
      <c r="E13" s="130"/>
      <c r="F13" s="46" t="s">
        <v>422</v>
      </c>
      <c r="G13" s="14" t="s">
        <v>295</v>
      </c>
      <c r="H13" s="32">
        <v>140031012</v>
      </c>
      <c r="I13" s="42" t="s">
        <v>424</v>
      </c>
      <c r="J13" s="13" t="s">
        <v>118</v>
      </c>
      <c r="K13" s="35">
        <v>202203123</v>
      </c>
      <c r="L13" s="126" t="s">
        <v>423</v>
      </c>
      <c r="M13" s="126"/>
      <c r="N13" s="64">
        <v>132000</v>
      </c>
      <c r="O13" s="74">
        <v>132000</v>
      </c>
      <c r="P13" s="50" t="s">
        <v>483</v>
      </c>
      <c r="R13" s="75"/>
    </row>
    <row r="14" spans="1:18" s="4" customFormat="1" ht="12.75">
      <c r="A14" s="32">
        <v>11</v>
      </c>
      <c r="B14" s="13" t="s">
        <v>280</v>
      </c>
      <c r="C14" s="13" t="s">
        <v>15</v>
      </c>
      <c r="D14" s="133"/>
      <c r="E14" s="130"/>
      <c r="F14" s="5" t="s">
        <v>425</v>
      </c>
      <c r="G14" s="14" t="s">
        <v>295</v>
      </c>
      <c r="H14" s="32">
        <v>140031015</v>
      </c>
      <c r="I14" s="42" t="s">
        <v>426</v>
      </c>
      <c r="J14" s="13" t="s">
        <v>185</v>
      </c>
      <c r="K14" s="35">
        <v>204918544</v>
      </c>
      <c r="L14" s="126" t="s">
        <v>423</v>
      </c>
      <c r="M14" s="126"/>
      <c r="N14" s="64">
        <v>32470</v>
      </c>
      <c r="O14" s="71">
        <v>31500</v>
      </c>
      <c r="P14" s="50" t="s">
        <v>482</v>
      </c>
    </row>
    <row r="15" spans="1:18" s="4" customFormat="1" ht="12.75">
      <c r="A15" s="32">
        <v>12</v>
      </c>
      <c r="B15" s="13" t="s">
        <v>280</v>
      </c>
      <c r="C15" s="13" t="s">
        <v>12</v>
      </c>
      <c r="D15" s="134"/>
      <c r="E15" s="129"/>
      <c r="F15" s="47" t="s">
        <v>427</v>
      </c>
      <c r="G15" s="14" t="s">
        <v>295</v>
      </c>
      <c r="H15" s="32">
        <v>150000993</v>
      </c>
      <c r="I15" s="13" t="s">
        <v>429</v>
      </c>
      <c r="J15" s="3" t="s">
        <v>414</v>
      </c>
      <c r="K15" s="30">
        <v>404901834</v>
      </c>
      <c r="L15" s="126" t="s">
        <v>428</v>
      </c>
      <c r="M15" s="126"/>
      <c r="N15" s="64">
        <v>9997</v>
      </c>
      <c r="O15" s="71"/>
      <c r="P15" s="50" t="s">
        <v>482</v>
      </c>
    </row>
    <row r="16" spans="1:18" s="39" customFormat="1" ht="12.75">
      <c r="A16" s="32">
        <v>13</v>
      </c>
      <c r="B16" s="13" t="s">
        <v>280</v>
      </c>
      <c r="C16" s="13" t="s">
        <v>15</v>
      </c>
      <c r="D16" s="132">
        <v>33600000</v>
      </c>
      <c r="E16" s="128">
        <v>3733403</v>
      </c>
      <c r="F16" s="5" t="s">
        <v>449</v>
      </c>
      <c r="G16" s="14" t="s">
        <v>295</v>
      </c>
      <c r="H16" s="32">
        <v>150004086</v>
      </c>
      <c r="I16" s="49" t="s">
        <v>450</v>
      </c>
      <c r="J16" s="3" t="s">
        <v>255</v>
      </c>
      <c r="K16" s="35">
        <v>202161640</v>
      </c>
      <c r="L16" s="126" t="s">
        <v>472</v>
      </c>
      <c r="M16" s="126"/>
      <c r="N16" s="64">
        <v>13680</v>
      </c>
      <c r="O16" s="69"/>
      <c r="P16" s="50" t="s">
        <v>482</v>
      </c>
    </row>
    <row r="17" spans="1:16375" s="39" customFormat="1" ht="12.75">
      <c r="A17" s="40">
        <v>14</v>
      </c>
      <c r="B17" s="13" t="s">
        <v>280</v>
      </c>
      <c r="C17" s="13" t="s">
        <v>15</v>
      </c>
      <c r="D17" s="133"/>
      <c r="E17" s="130"/>
      <c r="F17" s="5" t="s">
        <v>451</v>
      </c>
      <c r="G17" s="14" t="s">
        <v>295</v>
      </c>
      <c r="H17" s="32">
        <v>150005065</v>
      </c>
      <c r="I17" s="49" t="s">
        <v>452</v>
      </c>
      <c r="J17" s="3" t="s">
        <v>255</v>
      </c>
      <c r="K17" s="35">
        <v>202161640</v>
      </c>
      <c r="L17" s="126" t="s">
        <v>473</v>
      </c>
      <c r="M17" s="126"/>
      <c r="N17" s="64">
        <v>11823.15</v>
      </c>
      <c r="O17" s="69">
        <f>3470.4</f>
        <v>3470.4</v>
      </c>
      <c r="P17" s="50" t="s">
        <v>482</v>
      </c>
    </row>
    <row r="18" spans="1:16375" s="39" customFormat="1" ht="12.75">
      <c r="A18" s="32">
        <v>15</v>
      </c>
      <c r="B18" s="13" t="s">
        <v>280</v>
      </c>
      <c r="C18" s="13" t="s">
        <v>12</v>
      </c>
      <c r="D18" s="133"/>
      <c r="E18" s="130"/>
      <c r="F18" s="5" t="s">
        <v>454</v>
      </c>
      <c r="G18" s="13" t="s">
        <v>13</v>
      </c>
      <c r="H18" s="32">
        <v>150073502</v>
      </c>
      <c r="I18" s="49" t="s">
        <v>456</v>
      </c>
      <c r="J18" s="13" t="s">
        <v>106</v>
      </c>
      <c r="K18" s="35">
        <v>201991229</v>
      </c>
      <c r="L18" s="126" t="s">
        <v>455</v>
      </c>
      <c r="M18" s="126"/>
      <c r="N18" s="65">
        <v>6190</v>
      </c>
      <c r="O18" s="70"/>
      <c r="P18" s="50" t="s">
        <v>482</v>
      </c>
    </row>
    <row r="19" spans="1:16375" s="39" customFormat="1" ht="12.75">
      <c r="A19" s="32">
        <v>16</v>
      </c>
      <c r="B19" s="13" t="s">
        <v>280</v>
      </c>
      <c r="C19" s="13" t="s">
        <v>15</v>
      </c>
      <c r="D19" s="133"/>
      <c r="E19" s="130"/>
      <c r="F19" s="47" t="s">
        <v>457</v>
      </c>
      <c r="G19" s="13" t="s">
        <v>13</v>
      </c>
      <c r="H19" s="32">
        <v>150073497</v>
      </c>
      <c r="I19" s="49" t="s">
        <v>458</v>
      </c>
      <c r="J19" s="13" t="s">
        <v>106</v>
      </c>
      <c r="K19" s="35">
        <v>201991229</v>
      </c>
      <c r="L19" s="126" t="s">
        <v>455</v>
      </c>
      <c r="M19" s="126"/>
      <c r="N19" s="65">
        <v>1500</v>
      </c>
      <c r="O19" s="70"/>
      <c r="P19" s="50" t="s">
        <v>482</v>
      </c>
    </row>
    <row r="20" spans="1:16375" s="39" customFormat="1" ht="12.75">
      <c r="A20" s="32">
        <v>17</v>
      </c>
      <c r="B20" s="13" t="s">
        <v>280</v>
      </c>
      <c r="C20" s="13" t="s">
        <v>12</v>
      </c>
      <c r="D20" s="133"/>
      <c r="E20" s="130"/>
      <c r="F20" s="5" t="s">
        <v>454</v>
      </c>
      <c r="G20" s="13" t="s">
        <v>13</v>
      </c>
      <c r="H20" s="32">
        <v>150073510</v>
      </c>
      <c r="I20" s="49" t="s">
        <v>459</v>
      </c>
      <c r="J20" s="13" t="s">
        <v>160</v>
      </c>
      <c r="K20" s="35">
        <v>204927767</v>
      </c>
      <c r="L20" s="126" t="s">
        <v>455</v>
      </c>
      <c r="M20" s="126"/>
      <c r="N20" s="65">
        <v>3348.4</v>
      </c>
      <c r="O20" s="70"/>
      <c r="P20" s="50" t="s">
        <v>482</v>
      </c>
    </row>
    <row r="21" spans="1:16375" s="39" customFormat="1" ht="12.75">
      <c r="A21" s="40">
        <v>18</v>
      </c>
      <c r="B21" s="13" t="s">
        <v>280</v>
      </c>
      <c r="C21" s="13" t="s">
        <v>15</v>
      </c>
      <c r="D21" s="133"/>
      <c r="E21" s="130"/>
      <c r="F21" s="47" t="s">
        <v>457</v>
      </c>
      <c r="G21" s="13" t="s">
        <v>13</v>
      </c>
      <c r="H21" s="32">
        <v>150073509</v>
      </c>
      <c r="I21" s="49" t="s">
        <v>460</v>
      </c>
      <c r="J21" s="13" t="s">
        <v>160</v>
      </c>
      <c r="K21" s="35">
        <v>204927767</v>
      </c>
      <c r="L21" s="126" t="s">
        <v>455</v>
      </c>
      <c r="M21" s="126"/>
      <c r="N21" s="65">
        <v>1755.37</v>
      </c>
      <c r="O21" s="70"/>
      <c r="P21" s="50" t="s">
        <v>482</v>
      </c>
    </row>
    <row r="22" spans="1:16375" s="39" customFormat="1" ht="12.75">
      <c r="A22" s="32">
        <v>19</v>
      </c>
      <c r="B22" s="13" t="s">
        <v>280</v>
      </c>
      <c r="C22" s="13" t="s">
        <v>12</v>
      </c>
      <c r="D22" s="133"/>
      <c r="E22" s="130"/>
      <c r="F22" s="5" t="s">
        <v>454</v>
      </c>
      <c r="G22" s="13" t="s">
        <v>13</v>
      </c>
      <c r="H22" s="32">
        <v>150073513</v>
      </c>
      <c r="I22" s="49" t="s">
        <v>461</v>
      </c>
      <c r="J22" s="13" t="s">
        <v>129</v>
      </c>
      <c r="K22" s="35">
        <v>202203123</v>
      </c>
      <c r="L22" s="126" t="s">
        <v>455</v>
      </c>
      <c r="M22" s="126"/>
      <c r="N22" s="65">
        <v>2174.25</v>
      </c>
      <c r="O22" s="70"/>
      <c r="P22" s="50" t="s">
        <v>482</v>
      </c>
    </row>
    <row r="23" spans="1:16375" s="39" customFormat="1" ht="12.75">
      <c r="A23" s="32">
        <v>20</v>
      </c>
      <c r="B23" s="13" t="s">
        <v>280</v>
      </c>
      <c r="C23" s="13" t="s">
        <v>15</v>
      </c>
      <c r="D23" s="134"/>
      <c r="E23" s="129"/>
      <c r="F23" s="47" t="s">
        <v>457</v>
      </c>
      <c r="G23" s="13" t="s">
        <v>13</v>
      </c>
      <c r="H23" s="32">
        <v>150073514</v>
      </c>
      <c r="I23" s="52" t="s">
        <v>462</v>
      </c>
      <c r="J23" s="13" t="s">
        <v>129</v>
      </c>
      <c r="K23" s="35">
        <v>202203123</v>
      </c>
      <c r="L23" s="126" t="s">
        <v>455</v>
      </c>
      <c r="M23" s="126"/>
      <c r="N23" s="65">
        <v>2259.08</v>
      </c>
      <c r="O23" s="70"/>
      <c r="P23" s="50" t="s">
        <v>482</v>
      </c>
    </row>
    <row r="24" spans="1:16375" s="39" customFormat="1" ht="12.75">
      <c r="A24" s="32">
        <v>21</v>
      </c>
      <c r="B24" s="13" t="s">
        <v>280</v>
      </c>
      <c r="C24" s="13" t="s">
        <v>15</v>
      </c>
      <c r="D24" s="13">
        <v>33700000</v>
      </c>
      <c r="E24" s="66">
        <v>660</v>
      </c>
      <c r="F24" s="5" t="s">
        <v>403</v>
      </c>
      <c r="G24" s="13" t="s">
        <v>13</v>
      </c>
      <c r="H24" s="32">
        <v>150048680</v>
      </c>
      <c r="I24" s="42" t="s">
        <v>405</v>
      </c>
      <c r="J24" s="3" t="s">
        <v>89</v>
      </c>
      <c r="K24" s="35">
        <v>206172078</v>
      </c>
      <c r="L24" s="126" t="s">
        <v>404</v>
      </c>
      <c r="M24" s="126"/>
      <c r="N24" s="65">
        <v>543.54999999999995</v>
      </c>
      <c r="O24" s="74">
        <v>543.54999999999995</v>
      </c>
      <c r="P24" s="50" t="s">
        <v>483</v>
      </c>
      <c r="R24" s="75"/>
    </row>
    <row r="25" spans="1:16375" s="62" customFormat="1" ht="12.75">
      <c r="A25" s="40">
        <v>22</v>
      </c>
      <c r="B25" s="13" t="s">
        <v>280</v>
      </c>
      <c r="C25" s="13" t="s">
        <v>15</v>
      </c>
      <c r="D25" s="13">
        <v>39200000</v>
      </c>
      <c r="E25" s="66">
        <v>4998</v>
      </c>
      <c r="F25" s="5" t="s">
        <v>470</v>
      </c>
      <c r="G25" s="13" t="s">
        <v>13</v>
      </c>
      <c r="H25" s="32">
        <v>150080010</v>
      </c>
      <c r="I25" s="52" t="s">
        <v>468</v>
      </c>
      <c r="J25" s="13" t="s">
        <v>469</v>
      </c>
      <c r="K25" s="35">
        <v>401985633</v>
      </c>
      <c r="L25" s="126" t="s">
        <v>467</v>
      </c>
      <c r="M25" s="126"/>
      <c r="N25" s="64">
        <v>4992</v>
      </c>
      <c r="O25" s="47"/>
      <c r="P25" s="50" t="s">
        <v>482</v>
      </c>
    </row>
    <row r="26" spans="1:16375" s="39" customFormat="1" ht="12.75">
      <c r="A26" s="32">
        <v>23</v>
      </c>
      <c r="B26" s="13" t="s">
        <v>280</v>
      </c>
      <c r="C26" s="13" t="s">
        <v>15</v>
      </c>
      <c r="D26" s="13">
        <v>39800000</v>
      </c>
      <c r="E26" s="66">
        <v>660</v>
      </c>
      <c r="F26" s="24" t="s">
        <v>406</v>
      </c>
      <c r="G26" s="13" t="s">
        <v>13</v>
      </c>
      <c r="H26" s="32">
        <v>150048700</v>
      </c>
      <c r="I26" s="42" t="s">
        <v>407</v>
      </c>
      <c r="J26" s="3" t="s">
        <v>89</v>
      </c>
      <c r="K26" s="35">
        <v>206172078</v>
      </c>
      <c r="L26" s="126" t="s">
        <v>404</v>
      </c>
      <c r="M26" s="126"/>
      <c r="N26" s="65">
        <v>411.25</v>
      </c>
      <c r="O26" s="74">
        <v>411.25</v>
      </c>
      <c r="P26" s="50" t="s">
        <v>483</v>
      </c>
      <c r="R26" s="75"/>
    </row>
    <row r="27" spans="1:16375" s="39" customFormat="1" ht="12.75">
      <c r="A27" s="32">
        <v>24</v>
      </c>
      <c r="B27" s="13" t="s">
        <v>280</v>
      </c>
      <c r="C27" s="13" t="s">
        <v>15</v>
      </c>
      <c r="D27" s="132">
        <v>50100000</v>
      </c>
      <c r="E27" s="128">
        <v>4180</v>
      </c>
      <c r="F27" s="24" t="s">
        <v>408</v>
      </c>
      <c r="G27" s="13" t="s">
        <v>13</v>
      </c>
      <c r="H27" s="32">
        <v>150048801</v>
      </c>
      <c r="I27" s="42" t="s">
        <v>410</v>
      </c>
      <c r="J27" s="3" t="s">
        <v>207</v>
      </c>
      <c r="K27" s="35">
        <v>202177205</v>
      </c>
      <c r="L27" s="126" t="s">
        <v>409</v>
      </c>
      <c r="M27" s="126"/>
      <c r="N27" s="65">
        <v>739</v>
      </c>
      <c r="O27" s="74">
        <v>739</v>
      </c>
      <c r="P27" s="50" t="s">
        <v>483</v>
      </c>
      <c r="R27" s="75"/>
    </row>
    <row r="28" spans="1:16375" s="4" customFormat="1" ht="12.75">
      <c r="A28" s="32">
        <v>25</v>
      </c>
      <c r="B28" s="13" t="s">
        <v>280</v>
      </c>
      <c r="C28" s="13" t="s">
        <v>15</v>
      </c>
      <c r="D28" s="134"/>
      <c r="E28" s="129"/>
      <c r="F28" s="48" t="s">
        <v>430</v>
      </c>
      <c r="G28" s="13" t="s">
        <v>13</v>
      </c>
      <c r="H28" s="32">
        <v>150059166</v>
      </c>
      <c r="I28" s="13" t="s">
        <v>432</v>
      </c>
      <c r="J28" s="3" t="s">
        <v>433</v>
      </c>
      <c r="K28" s="7" t="s">
        <v>434</v>
      </c>
      <c r="L28" s="126" t="s">
        <v>431</v>
      </c>
      <c r="M28" s="126"/>
      <c r="N28" s="64">
        <f>60*7</f>
        <v>420</v>
      </c>
      <c r="O28" s="71"/>
      <c r="P28" s="50" t="s">
        <v>482</v>
      </c>
    </row>
    <row r="29" spans="1:16375" s="39" customFormat="1" ht="12.75">
      <c r="A29" s="40">
        <v>26</v>
      </c>
      <c r="B29" s="13" t="s">
        <v>280</v>
      </c>
      <c r="C29" s="13" t="s">
        <v>12</v>
      </c>
      <c r="D29" s="132">
        <v>63100000</v>
      </c>
      <c r="E29" s="127">
        <v>4400</v>
      </c>
      <c r="F29" s="5" t="s">
        <v>315</v>
      </c>
      <c r="G29" s="13" t="s">
        <v>13</v>
      </c>
      <c r="H29" s="32">
        <v>150019916</v>
      </c>
      <c r="I29" s="42" t="s">
        <v>389</v>
      </c>
      <c r="J29" s="13" t="s">
        <v>390</v>
      </c>
      <c r="K29" s="35">
        <v>208145176</v>
      </c>
      <c r="L29" s="126" t="s">
        <v>477</v>
      </c>
      <c r="M29" s="126"/>
      <c r="N29" s="65">
        <v>500</v>
      </c>
      <c r="O29" s="70">
        <f>207.92+88.76+43.18</f>
        <v>339.86</v>
      </c>
      <c r="P29" s="50" t="s">
        <v>482</v>
      </c>
    </row>
    <row r="30" spans="1:16375" s="4" customFormat="1" ht="12.75">
      <c r="A30" s="32">
        <v>27</v>
      </c>
      <c r="B30" s="13" t="s">
        <v>280</v>
      </c>
      <c r="C30" s="13" t="s">
        <v>15</v>
      </c>
      <c r="D30" s="133"/>
      <c r="E30" s="127"/>
      <c r="F30" s="48" t="s">
        <v>38</v>
      </c>
      <c r="G30" s="13" t="s">
        <v>13</v>
      </c>
      <c r="H30" s="32">
        <v>150064504</v>
      </c>
      <c r="I30" s="49" t="s">
        <v>438</v>
      </c>
      <c r="J30" s="3" t="s">
        <v>41</v>
      </c>
      <c r="K30" s="35">
        <v>201954965</v>
      </c>
      <c r="L30" s="126" t="s">
        <v>437</v>
      </c>
      <c r="M30" s="126"/>
      <c r="N30" s="64">
        <v>100</v>
      </c>
      <c r="O30" s="71">
        <v>30</v>
      </c>
      <c r="P30" s="50" t="s">
        <v>482</v>
      </c>
    </row>
    <row r="31" spans="1:16375" s="4" customFormat="1" ht="12.75">
      <c r="A31" s="32">
        <v>28</v>
      </c>
      <c r="B31" s="13" t="s">
        <v>280</v>
      </c>
      <c r="C31" s="13" t="s">
        <v>15</v>
      </c>
      <c r="D31" s="134"/>
      <c r="E31" s="127"/>
      <c r="F31" s="47" t="s">
        <v>315</v>
      </c>
      <c r="G31" s="13" t="s">
        <v>13</v>
      </c>
      <c r="H31" s="32">
        <v>150067493</v>
      </c>
      <c r="I31" s="49" t="s">
        <v>440</v>
      </c>
      <c r="J31" s="13" t="s">
        <v>390</v>
      </c>
      <c r="K31" s="35">
        <v>208145176</v>
      </c>
      <c r="L31" s="126" t="s">
        <v>439</v>
      </c>
      <c r="M31" s="126"/>
      <c r="N31" s="64">
        <v>500</v>
      </c>
      <c r="O31" s="71">
        <v>169.63</v>
      </c>
      <c r="P31" s="50" t="s">
        <v>482</v>
      </c>
    </row>
    <row r="32" spans="1:16375" s="4" customFormat="1" ht="12.75">
      <c r="A32" s="32">
        <v>29</v>
      </c>
      <c r="B32" s="13" t="s">
        <v>280</v>
      </c>
      <c r="C32" s="13" t="s">
        <v>56</v>
      </c>
      <c r="D32" s="13">
        <v>63100000</v>
      </c>
      <c r="E32" s="66">
        <v>82977</v>
      </c>
      <c r="F32" s="5" t="s">
        <v>463</v>
      </c>
      <c r="G32" s="13" t="s">
        <v>369</v>
      </c>
      <c r="H32" s="32">
        <v>150007433</v>
      </c>
      <c r="I32" s="49" t="s">
        <v>465</v>
      </c>
      <c r="J32" s="3" t="s">
        <v>466</v>
      </c>
      <c r="K32" s="35">
        <v>206339229</v>
      </c>
      <c r="L32" s="126" t="s">
        <v>464</v>
      </c>
      <c r="M32" s="126"/>
      <c r="N32" s="64">
        <v>21500</v>
      </c>
      <c r="O32" s="72"/>
      <c r="P32" s="50" t="s">
        <v>482</v>
      </c>
      <c r="Q32" s="54"/>
      <c r="R32" s="54"/>
      <c r="S32" s="58"/>
      <c r="T32" s="58"/>
      <c r="U32" s="58"/>
      <c r="V32" s="58"/>
      <c r="W32" s="59"/>
      <c r="X32" s="60"/>
      <c r="Y32" s="54"/>
      <c r="Z32" s="54"/>
      <c r="AA32" s="36"/>
      <c r="AB32" s="55"/>
      <c r="AC32" s="54"/>
      <c r="AD32" s="56"/>
      <c r="AE32" s="57"/>
      <c r="AF32" s="54"/>
      <c r="AG32" s="54"/>
      <c r="AH32" s="54"/>
      <c r="AI32" s="58"/>
      <c r="AJ32" s="58"/>
      <c r="AK32" s="58"/>
      <c r="AL32" s="58"/>
      <c r="AM32" s="59"/>
      <c r="AN32" s="60"/>
      <c r="AO32" s="54"/>
      <c r="AP32" s="54"/>
      <c r="AQ32" s="36"/>
      <c r="AR32" s="55"/>
      <c r="AS32" s="54"/>
      <c r="AT32" s="56"/>
      <c r="AU32" s="57"/>
      <c r="AV32" s="54"/>
      <c r="AW32" s="54"/>
      <c r="AX32" s="54"/>
      <c r="AY32" s="58"/>
      <c r="AZ32" s="58"/>
      <c r="BA32" s="58"/>
      <c r="BB32" s="58"/>
      <c r="BC32" s="59"/>
      <c r="BD32" s="60"/>
      <c r="BE32" s="54"/>
      <c r="BF32" s="54"/>
      <c r="BG32" s="36"/>
      <c r="BH32" s="55"/>
      <c r="BI32" s="54"/>
      <c r="BJ32" s="56"/>
      <c r="BK32" s="57"/>
      <c r="BL32" s="54"/>
      <c r="BM32" s="54"/>
      <c r="BN32" s="54"/>
      <c r="BO32" s="58"/>
      <c r="BP32" s="58"/>
      <c r="BQ32" s="58"/>
      <c r="BR32" s="58"/>
      <c r="BS32" s="59"/>
      <c r="BT32" s="60"/>
      <c r="BU32" s="54"/>
      <c r="BV32" s="54"/>
      <c r="BW32" s="36"/>
      <c r="BX32" s="55"/>
      <c r="BY32" s="54"/>
      <c r="BZ32" s="56"/>
      <c r="CA32" s="57"/>
      <c r="CB32" s="54"/>
      <c r="CC32" s="54"/>
      <c r="CD32" s="54"/>
      <c r="CE32" s="58"/>
      <c r="CF32" s="58"/>
      <c r="CG32" s="58"/>
      <c r="CH32" s="58"/>
      <c r="CI32" s="59"/>
      <c r="CJ32" s="60"/>
      <c r="CK32" s="54"/>
      <c r="CL32" s="54"/>
      <c r="CM32" s="36"/>
      <c r="CN32" s="55"/>
      <c r="CO32" s="54"/>
      <c r="CP32" s="56"/>
      <c r="CQ32" s="57"/>
      <c r="CR32" s="54"/>
      <c r="CS32" s="54"/>
      <c r="CT32" s="54"/>
      <c r="CU32" s="58"/>
      <c r="CV32" s="58"/>
      <c r="CW32" s="58"/>
      <c r="CX32" s="58"/>
      <c r="CY32" s="59"/>
      <c r="CZ32" s="60"/>
      <c r="DA32" s="54"/>
      <c r="DB32" s="54"/>
      <c r="DC32" s="36"/>
      <c r="DD32" s="55"/>
      <c r="DE32" s="54"/>
      <c r="DF32" s="56"/>
      <c r="DG32" s="57"/>
      <c r="DH32" s="54"/>
      <c r="DI32" s="54"/>
      <c r="DJ32" s="54"/>
      <c r="DK32" s="58"/>
      <c r="DL32" s="58"/>
      <c r="DM32" s="58"/>
      <c r="DN32" s="58"/>
      <c r="DO32" s="59"/>
      <c r="DP32" s="60"/>
      <c r="DQ32" s="54"/>
      <c r="DR32" s="54"/>
      <c r="DS32" s="36"/>
      <c r="DT32" s="55"/>
      <c r="DU32" s="54"/>
      <c r="DV32" s="56"/>
      <c r="DW32" s="57"/>
      <c r="DX32" s="54"/>
      <c r="DY32" s="54"/>
      <c r="DZ32" s="54"/>
      <c r="EA32" s="58"/>
      <c r="EB32" s="58"/>
      <c r="EC32" s="58"/>
      <c r="ED32" s="58"/>
      <c r="EE32" s="59"/>
      <c r="EF32" s="60"/>
      <c r="EG32" s="54"/>
      <c r="EH32" s="54"/>
      <c r="EI32" s="36"/>
      <c r="EJ32" s="55"/>
      <c r="EK32" s="54"/>
      <c r="EL32" s="56"/>
      <c r="EM32" s="57"/>
      <c r="EN32" s="54"/>
      <c r="EO32" s="54"/>
      <c r="EP32" s="54"/>
      <c r="EQ32" s="58"/>
      <c r="ER32" s="58"/>
      <c r="ES32" s="58"/>
      <c r="ET32" s="58"/>
      <c r="EU32" s="59"/>
      <c r="EV32" s="60"/>
      <c r="EW32" s="54"/>
      <c r="EX32" s="54"/>
      <c r="EY32" s="36"/>
      <c r="EZ32" s="55"/>
      <c r="FA32" s="54"/>
      <c r="FB32" s="56"/>
      <c r="FC32" s="57"/>
      <c r="FD32" s="54"/>
      <c r="FE32" s="54"/>
      <c r="FF32" s="54"/>
      <c r="FG32" s="58"/>
      <c r="FH32" s="58"/>
      <c r="FI32" s="58"/>
      <c r="FJ32" s="58"/>
      <c r="FK32" s="59"/>
      <c r="FL32" s="60"/>
      <c r="FM32" s="54"/>
      <c r="FN32" s="54"/>
      <c r="FO32" s="36"/>
      <c r="FP32" s="55"/>
      <c r="FQ32" s="54"/>
      <c r="FR32" s="56"/>
      <c r="FS32" s="57"/>
      <c r="FT32" s="54"/>
      <c r="FU32" s="54"/>
      <c r="FV32" s="54"/>
      <c r="FW32" s="58"/>
      <c r="FX32" s="58"/>
      <c r="FY32" s="58"/>
      <c r="FZ32" s="58"/>
      <c r="GA32" s="59"/>
      <c r="GB32" s="60"/>
      <c r="GC32" s="54"/>
      <c r="GD32" s="54"/>
      <c r="GE32" s="36"/>
      <c r="GF32" s="55"/>
      <c r="GG32" s="54"/>
      <c r="GH32" s="56"/>
      <c r="GI32" s="57"/>
      <c r="GJ32" s="54"/>
      <c r="GK32" s="54"/>
      <c r="GL32" s="54"/>
      <c r="GM32" s="58"/>
      <c r="GN32" s="58"/>
      <c r="GO32" s="58"/>
      <c r="GP32" s="58"/>
      <c r="GQ32" s="59"/>
      <c r="GR32" s="60"/>
      <c r="GS32" s="54"/>
      <c r="GT32" s="54"/>
      <c r="GU32" s="36"/>
      <c r="GV32" s="55"/>
      <c r="GW32" s="54"/>
      <c r="GX32" s="56"/>
      <c r="GY32" s="57"/>
      <c r="GZ32" s="54"/>
      <c r="HA32" s="54"/>
      <c r="HB32" s="54"/>
      <c r="HC32" s="58"/>
      <c r="HD32" s="58"/>
      <c r="HE32" s="58"/>
      <c r="HF32" s="58"/>
      <c r="HG32" s="59"/>
      <c r="HH32" s="60"/>
      <c r="HI32" s="54"/>
      <c r="HJ32" s="54"/>
      <c r="HK32" s="36"/>
      <c r="HL32" s="55"/>
      <c r="HM32" s="54"/>
      <c r="HN32" s="56"/>
      <c r="HO32" s="57"/>
      <c r="HP32" s="54"/>
      <c r="HQ32" s="54"/>
      <c r="HR32" s="54"/>
      <c r="HS32" s="58"/>
      <c r="HT32" s="58"/>
      <c r="HU32" s="58"/>
      <c r="HV32" s="58"/>
      <c r="HW32" s="59"/>
      <c r="HX32" s="60"/>
      <c r="HY32" s="54"/>
      <c r="HZ32" s="54"/>
      <c r="IA32" s="36"/>
      <c r="IB32" s="55"/>
      <c r="IC32" s="54"/>
      <c r="ID32" s="56"/>
      <c r="IE32" s="57"/>
      <c r="IF32" s="54"/>
      <c r="IG32" s="54"/>
      <c r="IH32" s="54"/>
      <c r="II32" s="58"/>
      <c r="IJ32" s="58"/>
      <c r="IK32" s="58"/>
      <c r="IL32" s="58"/>
      <c r="IM32" s="59"/>
      <c r="IN32" s="60"/>
      <c r="IO32" s="54"/>
      <c r="IP32" s="54"/>
      <c r="IQ32" s="36"/>
      <c r="IR32" s="55"/>
      <c r="IS32" s="54"/>
      <c r="IT32" s="56"/>
      <c r="IU32" s="57"/>
      <c r="IV32" s="54"/>
      <c r="IW32" s="54"/>
      <c r="IX32" s="54"/>
      <c r="IY32" s="58"/>
      <c r="IZ32" s="58"/>
      <c r="JA32" s="58"/>
      <c r="JB32" s="58"/>
      <c r="JC32" s="59"/>
      <c r="JD32" s="60"/>
      <c r="JE32" s="54"/>
      <c r="JF32" s="54"/>
      <c r="JG32" s="36"/>
      <c r="JH32" s="55"/>
      <c r="JI32" s="54"/>
      <c r="JJ32" s="56"/>
      <c r="JK32" s="57"/>
      <c r="JL32" s="54"/>
      <c r="JM32" s="54"/>
      <c r="JN32" s="54"/>
      <c r="JO32" s="58"/>
      <c r="JP32" s="58"/>
      <c r="JQ32" s="58"/>
      <c r="JR32" s="58"/>
      <c r="JS32" s="59"/>
      <c r="JT32" s="60"/>
      <c r="JU32" s="54"/>
      <c r="JV32" s="54"/>
      <c r="JW32" s="36"/>
      <c r="JX32" s="55"/>
      <c r="JY32" s="54"/>
      <c r="JZ32" s="56"/>
      <c r="KA32" s="57"/>
      <c r="KB32" s="54"/>
      <c r="KC32" s="54"/>
      <c r="KD32" s="54"/>
      <c r="KE32" s="58"/>
      <c r="KF32" s="58"/>
      <c r="KG32" s="58"/>
      <c r="KH32" s="58"/>
      <c r="KI32" s="59"/>
      <c r="KJ32" s="60"/>
      <c r="KK32" s="54"/>
      <c r="KL32" s="54"/>
      <c r="KM32" s="36"/>
      <c r="KN32" s="55"/>
      <c r="KO32" s="54"/>
      <c r="KP32" s="56"/>
      <c r="KQ32" s="57"/>
      <c r="KR32" s="54"/>
      <c r="KS32" s="54"/>
      <c r="KT32" s="54"/>
      <c r="KU32" s="58"/>
      <c r="KV32" s="58"/>
      <c r="KW32" s="58"/>
      <c r="KX32" s="58"/>
      <c r="KY32" s="59"/>
      <c r="KZ32" s="60"/>
      <c r="LA32" s="54"/>
      <c r="LB32" s="54"/>
      <c r="LC32" s="36"/>
      <c r="LD32" s="55"/>
      <c r="LE32" s="54"/>
      <c r="LF32" s="56"/>
      <c r="LG32" s="57"/>
      <c r="LH32" s="54"/>
      <c r="LI32" s="54"/>
      <c r="LJ32" s="54"/>
      <c r="LK32" s="58"/>
      <c r="LL32" s="58"/>
      <c r="LM32" s="58"/>
      <c r="LN32" s="58"/>
      <c r="LO32" s="59"/>
      <c r="LP32" s="60"/>
      <c r="LQ32" s="54"/>
      <c r="LR32" s="54"/>
      <c r="LS32" s="36"/>
      <c r="LT32" s="55"/>
      <c r="LU32" s="54"/>
      <c r="LV32" s="56"/>
      <c r="LW32" s="57"/>
      <c r="LX32" s="54"/>
      <c r="LY32" s="54"/>
      <c r="LZ32" s="54"/>
      <c r="MA32" s="58"/>
      <c r="MB32" s="58"/>
      <c r="MC32" s="58"/>
      <c r="MD32" s="58"/>
      <c r="ME32" s="59"/>
      <c r="MF32" s="60"/>
      <c r="MG32" s="54"/>
      <c r="MH32" s="54"/>
      <c r="MI32" s="36"/>
      <c r="MJ32" s="55"/>
      <c r="MK32" s="54"/>
      <c r="ML32" s="56"/>
      <c r="MM32" s="57"/>
      <c r="MN32" s="54"/>
      <c r="MO32" s="54"/>
      <c r="MP32" s="54"/>
      <c r="MQ32" s="58"/>
      <c r="MR32" s="58"/>
      <c r="MS32" s="58"/>
      <c r="MT32" s="58"/>
      <c r="MU32" s="59"/>
      <c r="MV32" s="60"/>
      <c r="MW32" s="54"/>
      <c r="MX32" s="54"/>
      <c r="MY32" s="36"/>
      <c r="MZ32" s="55"/>
      <c r="NA32" s="54"/>
      <c r="NB32" s="56"/>
      <c r="NC32" s="57"/>
      <c r="ND32" s="54"/>
      <c r="NE32" s="54"/>
      <c r="NF32" s="54"/>
      <c r="NG32" s="58"/>
      <c r="NH32" s="58"/>
      <c r="NI32" s="58"/>
      <c r="NJ32" s="58"/>
      <c r="NK32" s="59"/>
      <c r="NL32" s="60"/>
      <c r="NM32" s="54"/>
      <c r="NN32" s="54"/>
      <c r="NO32" s="36"/>
      <c r="NP32" s="55"/>
      <c r="NQ32" s="54"/>
      <c r="NR32" s="56"/>
      <c r="NS32" s="57"/>
      <c r="NT32" s="54"/>
      <c r="NU32" s="54"/>
      <c r="NV32" s="54"/>
      <c r="NW32" s="58"/>
      <c r="NX32" s="58"/>
      <c r="NY32" s="58"/>
      <c r="NZ32" s="58"/>
      <c r="OA32" s="59"/>
      <c r="OB32" s="60"/>
      <c r="OC32" s="54"/>
      <c r="OD32" s="54"/>
      <c r="OE32" s="36"/>
      <c r="OF32" s="55"/>
      <c r="OG32" s="54"/>
      <c r="OH32" s="56"/>
      <c r="OI32" s="57"/>
      <c r="OJ32" s="54"/>
      <c r="OK32" s="54"/>
      <c r="OL32" s="54"/>
      <c r="OM32" s="58"/>
      <c r="ON32" s="58"/>
      <c r="OO32" s="58"/>
      <c r="OP32" s="58"/>
      <c r="OQ32" s="59"/>
      <c r="OR32" s="60"/>
      <c r="OS32" s="54"/>
      <c r="OT32" s="54"/>
      <c r="OU32" s="36"/>
      <c r="OV32" s="55"/>
      <c r="OW32" s="54"/>
      <c r="OX32" s="56"/>
      <c r="OY32" s="57"/>
      <c r="OZ32" s="54"/>
      <c r="PA32" s="54"/>
      <c r="PB32" s="54"/>
      <c r="PC32" s="58"/>
      <c r="PD32" s="58"/>
      <c r="PE32" s="58"/>
      <c r="PF32" s="58"/>
      <c r="PG32" s="59"/>
      <c r="PH32" s="60"/>
      <c r="PI32" s="54"/>
      <c r="PJ32" s="54"/>
      <c r="PK32" s="36"/>
      <c r="PL32" s="55"/>
      <c r="PM32" s="54"/>
      <c r="PN32" s="56"/>
      <c r="PO32" s="57"/>
      <c r="PP32" s="54"/>
      <c r="PQ32" s="54"/>
      <c r="PR32" s="54"/>
      <c r="PS32" s="58"/>
      <c r="PT32" s="58"/>
      <c r="PU32" s="58"/>
      <c r="PV32" s="58"/>
      <c r="PW32" s="59"/>
      <c r="PX32" s="60"/>
      <c r="PY32" s="54"/>
      <c r="PZ32" s="54"/>
      <c r="QA32" s="36"/>
      <c r="QB32" s="55"/>
      <c r="QC32" s="54"/>
      <c r="QD32" s="56"/>
      <c r="QE32" s="57"/>
      <c r="QF32" s="54"/>
      <c r="QG32" s="54"/>
      <c r="QH32" s="54"/>
      <c r="QI32" s="58"/>
      <c r="QJ32" s="58"/>
      <c r="QK32" s="58"/>
      <c r="QL32" s="58"/>
      <c r="QM32" s="59"/>
      <c r="QN32" s="60"/>
      <c r="QO32" s="54"/>
      <c r="QP32" s="54"/>
      <c r="QQ32" s="36"/>
      <c r="QR32" s="55"/>
      <c r="QS32" s="54"/>
      <c r="QT32" s="56"/>
      <c r="QU32" s="57"/>
      <c r="QV32" s="54"/>
      <c r="QW32" s="54"/>
      <c r="QX32" s="54"/>
      <c r="QY32" s="58"/>
      <c r="QZ32" s="58"/>
      <c r="RA32" s="58"/>
      <c r="RB32" s="58"/>
      <c r="RC32" s="59"/>
      <c r="RD32" s="60"/>
      <c r="RE32" s="54"/>
      <c r="RF32" s="54"/>
      <c r="RG32" s="36"/>
      <c r="RH32" s="55"/>
      <c r="RI32" s="54"/>
      <c r="RJ32" s="56"/>
      <c r="RK32" s="57"/>
      <c r="RL32" s="54"/>
      <c r="RM32" s="54"/>
      <c r="RN32" s="54"/>
      <c r="RO32" s="58"/>
      <c r="RP32" s="58"/>
      <c r="RQ32" s="58"/>
      <c r="RR32" s="58"/>
      <c r="RS32" s="59"/>
      <c r="RT32" s="60"/>
      <c r="RU32" s="54"/>
      <c r="RV32" s="54"/>
      <c r="RW32" s="36"/>
      <c r="RX32" s="55"/>
      <c r="RY32" s="54"/>
      <c r="RZ32" s="56"/>
      <c r="SA32" s="57"/>
      <c r="SB32" s="54"/>
      <c r="SC32" s="54"/>
      <c r="SD32" s="54"/>
      <c r="SE32" s="58"/>
      <c r="SF32" s="58"/>
      <c r="SG32" s="58"/>
      <c r="SH32" s="58"/>
      <c r="SI32" s="59"/>
      <c r="SJ32" s="60"/>
      <c r="SK32" s="54"/>
      <c r="SL32" s="54"/>
      <c r="SM32" s="36"/>
      <c r="SN32" s="55"/>
      <c r="SO32" s="54"/>
      <c r="SP32" s="56"/>
      <c r="SQ32" s="57"/>
      <c r="SR32" s="54"/>
      <c r="SS32" s="54"/>
      <c r="ST32" s="54"/>
      <c r="SU32" s="58"/>
      <c r="SV32" s="58"/>
      <c r="SW32" s="58"/>
      <c r="SX32" s="58"/>
      <c r="SY32" s="59"/>
      <c r="SZ32" s="60"/>
      <c r="TA32" s="54"/>
      <c r="TB32" s="54"/>
      <c r="TC32" s="36"/>
      <c r="TD32" s="55"/>
      <c r="TE32" s="54"/>
      <c r="TF32" s="56"/>
      <c r="TG32" s="57"/>
      <c r="TH32" s="54"/>
      <c r="TI32" s="54"/>
      <c r="TJ32" s="54"/>
      <c r="TK32" s="58"/>
      <c r="TL32" s="58"/>
      <c r="TM32" s="58"/>
      <c r="TN32" s="58"/>
      <c r="TO32" s="59"/>
      <c r="TP32" s="60"/>
      <c r="TQ32" s="54"/>
      <c r="TR32" s="54"/>
      <c r="TS32" s="36"/>
      <c r="TT32" s="55"/>
      <c r="TU32" s="54"/>
      <c r="TV32" s="56"/>
      <c r="TW32" s="57"/>
      <c r="TX32" s="54"/>
      <c r="TY32" s="54"/>
      <c r="TZ32" s="54"/>
      <c r="UA32" s="58"/>
      <c r="UB32" s="58"/>
      <c r="UC32" s="58"/>
      <c r="UD32" s="58"/>
      <c r="UE32" s="59"/>
      <c r="UF32" s="60"/>
      <c r="UG32" s="54"/>
      <c r="UH32" s="54"/>
      <c r="UI32" s="36"/>
      <c r="UJ32" s="55"/>
      <c r="UK32" s="54"/>
      <c r="UL32" s="56"/>
      <c r="UM32" s="57"/>
      <c r="UN32" s="54"/>
      <c r="UO32" s="54"/>
      <c r="UP32" s="54"/>
      <c r="UQ32" s="58"/>
      <c r="UR32" s="58"/>
      <c r="US32" s="58"/>
      <c r="UT32" s="58"/>
      <c r="UU32" s="59"/>
      <c r="UV32" s="60"/>
      <c r="UW32" s="54"/>
      <c r="UX32" s="54"/>
      <c r="UY32" s="36"/>
      <c r="UZ32" s="55"/>
      <c r="VA32" s="54"/>
      <c r="VB32" s="56"/>
      <c r="VC32" s="57"/>
      <c r="VD32" s="54"/>
      <c r="VE32" s="54"/>
      <c r="VF32" s="54"/>
      <c r="VG32" s="58"/>
      <c r="VH32" s="58"/>
      <c r="VI32" s="58"/>
      <c r="VJ32" s="58"/>
      <c r="VK32" s="59"/>
      <c r="VL32" s="60"/>
      <c r="VM32" s="54"/>
      <c r="VN32" s="54"/>
      <c r="VO32" s="36"/>
      <c r="VP32" s="55"/>
      <c r="VQ32" s="54"/>
      <c r="VR32" s="56"/>
      <c r="VS32" s="57"/>
      <c r="VT32" s="54"/>
      <c r="VU32" s="54"/>
      <c r="VV32" s="54"/>
      <c r="VW32" s="58"/>
      <c r="VX32" s="58"/>
      <c r="VY32" s="58"/>
      <c r="VZ32" s="58"/>
      <c r="WA32" s="59"/>
      <c r="WB32" s="60"/>
      <c r="WC32" s="54"/>
      <c r="WD32" s="54"/>
      <c r="WE32" s="36"/>
      <c r="WF32" s="55"/>
      <c r="WG32" s="54"/>
      <c r="WH32" s="56"/>
      <c r="WI32" s="57"/>
      <c r="WJ32" s="54"/>
      <c r="WK32" s="54"/>
      <c r="WL32" s="54"/>
      <c r="WM32" s="58"/>
      <c r="WN32" s="58"/>
      <c r="WO32" s="58"/>
      <c r="WP32" s="58"/>
      <c r="WQ32" s="59"/>
      <c r="WR32" s="60"/>
      <c r="WS32" s="54"/>
      <c r="WT32" s="54"/>
      <c r="WU32" s="36"/>
      <c r="WV32" s="55"/>
      <c r="WW32" s="54"/>
      <c r="WX32" s="56"/>
      <c r="WY32" s="57"/>
      <c r="WZ32" s="54"/>
      <c r="XA32" s="54"/>
      <c r="XB32" s="54"/>
      <c r="XC32" s="58"/>
      <c r="XD32" s="58"/>
      <c r="XE32" s="58"/>
      <c r="XF32" s="58"/>
      <c r="XG32" s="59"/>
      <c r="XH32" s="60"/>
      <c r="XI32" s="54"/>
      <c r="XJ32" s="54"/>
      <c r="XK32" s="36"/>
      <c r="XL32" s="55"/>
      <c r="XM32" s="54"/>
      <c r="XN32" s="56"/>
      <c r="XO32" s="57"/>
      <c r="XP32" s="54"/>
      <c r="XQ32" s="54"/>
      <c r="XR32" s="54"/>
      <c r="XS32" s="58"/>
      <c r="XT32" s="58"/>
      <c r="XU32" s="58"/>
      <c r="XV32" s="58"/>
      <c r="XW32" s="59"/>
      <c r="XX32" s="60"/>
      <c r="XY32" s="54"/>
      <c r="XZ32" s="54"/>
      <c r="YA32" s="36"/>
      <c r="YB32" s="55"/>
      <c r="YC32" s="54"/>
      <c r="YD32" s="56"/>
      <c r="YE32" s="57"/>
      <c r="YF32" s="54"/>
      <c r="YG32" s="54"/>
      <c r="YH32" s="54"/>
      <c r="YI32" s="58"/>
      <c r="YJ32" s="58"/>
      <c r="YK32" s="58"/>
      <c r="YL32" s="58"/>
      <c r="YM32" s="59"/>
      <c r="YN32" s="60"/>
      <c r="YO32" s="54"/>
      <c r="YP32" s="54"/>
      <c r="YQ32" s="36"/>
      <c r="YR32" s="55"/>
      <c r="YS32" s="54"/>
      <c r="YT32" s="56"/>
      <c r="YU32" s="57"/>
      <c r="YV32" s="54"/>
      <c r="YW32" s="54"/>
      <c r="YX32" s="54"/>
      <c r="YY32" s="58"/>
      <c r="YZ32" s="58"/>
      <c r="ZA32" s="58"/>
      <c r="ZB32" s="58"/>
      <c r="ZC32" s="59"/>
      <c r="ZD32" s="60"/>
      <c r="ZE32" s="54"/>
      <c r="ZF32" s="54"/>
      <c r="ZG32" s="36"/>
      <c r="ZH32" s="55"/>
      <c r="ZI32" s="54"/>
      <c r="ZJ32" s="56"/>
      <c r="ZK32" s="57"/>
      <c r="ZL32" s="54"/>
      <c r="ZM32" s="54"/>
      <c r="ZN32" s="54"/>
      <c r="ZO32" s="58"/>
      <c r="ZP32" s="58"/>
      <c r="ZQ32" s="58"/>
      <c r="ZR32" s="58"/>
      <c r="ZS32" s="59"/>
      <c r="ZT32" s="60"/>
      <c r="ZU32" s="54"/>
      <c r="ZV32" s="54"/>
      <c r="ZW32" s="36"/>
      <c r="ZX32" s="55"/>
      <c r="ZY32" s="54"/>
      <c r="ZZ32" s="56"/>
      <c r="AAA32" s="57"/>
      <c r="AAB32" s="54"/>
      <c r="AAC32" s="54"/>
      <c r="AAD32" s="54"/>
      <c r="AAE32" s="58"/>
      <c r="AAF32" s="58"/>
      <c r="AAG32" s="58"/>
      <c r="AAH32" s="58"/>
      <c r="AAI32" s="59"/>
      <c r="AAJ32" s="60"/>
      <c r="AAK32" s="54"/>
      <c r="AAL32" s="54"/>
      <c r="AAM32" s="36"/>
      <c r="AAN32" s="55"/>
      <c r="AAO32" s="54"/>
      <c r="AAP32" s="56"/>
      <c r="AAQ32" s="57"/>
      <c r="AAR32" s="54"/>
      <c r="AAS32" s="54"/>
      <c r="AAT32" s="54"/>
      <c r="AAU32" s="58"/>
      <c r="AAV32" s="58"/>
      <c r="AAW32" s="58"/>
      <c r="AAX32" s="58"/>
      <c r="AAY32" s="59"/>
      <c r="AAZ32" s="60"/>
      <c r="ABA32" s="54"/>
      <c r="ABB32" s="54"/>
      <c r="ABC32" s="36"/>
      <c r="ABD32" s="55"/>
      <c r="ABE32" s="54"/>
      <c r="ABF32" s="56"/>
      <c r="ABG32" s="57"/>
      <c r="ABH32" s="54"/>
      <c r="ABI32" s="54"/>
      <c r="ABJ32" s="54"/>
      <c r="ABK32" s="58"/>
      <c r="ABL32" s="58"/>
      <c r="ABM32" s="58"/>
      <c r="ABN32" s="58"/>
      <c r="ABO32" s="59"/>
      <c r="ABP32" s="60"/>
      <c r="ABQ32" s="54"/>
      <c r="ABR32" s="54"/>
      <c r="ABS32" s="36"/>
      <c r="ABT32" s="55"/>
      <c r="ABU32" s="54"/>
      <c r="ABV32" s="56"/>
      <c r="ABW32" s="57"/>
      <c r="ABX32" s="54"/>
      <c r="ABY32" s="54"/>
      <c r="ABZ32" s="54"/>
      <c r="ACA32" s="58"/>
      <c r="ACB32" s="58"/>
      <c r="ACC32" s="58"/>
      <c r="ACD32" s="58"/>
      <c r="ACE32" s="59"/>
      <c r="ACF32" s="60"/>
      <c r="ACG32" s="54"/>
      <c r="ACH32" s="54"/>
      <c r="ACI32" s="36"/>
      <c r="ACJ32" s="55"/>
      <c r="ACK32" s="54"/>
      <c r="ACL32" s="56"/>
      <c r="ACM32" s="57"/>
      <c r="ACN32" s="54"/>
      <c r="ACO32" s="54"/>
      <c r="ACP32" s="54"/>
      <c r="ACQ32" s="58"/>
      <c r="ACR32" s="58"/>
      <c r="ACS32" s="58"/>
      <c r="ACT32" s="58"/>
      <c r="ACU32" s="59"/>
      <c r="ACV32" s="60"/>
      <c r="ACW32" s="54"/>
      <c r="ACX32" s="54"/>
      <c r="ACY32" s="36"/>
      <c r="ACZ32" s="55"/>
      <c r="ADA32" s="54"/>
      <c r="ADB32" s="56"/>
      <c r="ADC32" s="57"/>
      <c r="ADD32" s="54"/>
      <c r="ADE32" s="54"/>
      <c r="ADF32" s="54"/>
      <c r="ADG32" s="58"/>
      <c r="ADH32" s="58"/>
      <c r="ADI32" s="58"/>
      <c r="ADJ32" s="58"/>
      <c r="ADK32" s="59"/>
      <c r="ADL32" s="60"/>
      <c r="ADM32" s="54"/>
      <c r="ADN32" s="54"/>
      <c r="ADO32" s="36"/>
      <c r="ADP32" s="55"/>
      <c r="ADQ32" s="54"/>
      <c r="ADR32" s="56"/>
      <c r="ADS32" s="57"/>
      <c r="ADT32" s="54"/>
      <c r="ADU32" s="54"/>
      <c r="ADV32" s="54"/>
      <c r="ADW32" s="58"/>
      <c r="ADX32" s="58"/>
      <c r="ADY32" s="58"/>
      <c r="ADZ32" s="58"/>
      <c r="AEA32" s="59"/>
      <c r="AEB32" s="60"/>
      <c r="AEC32" s="54"/>
      <c r="AED32" s="54"/>
      <c r="AEE32" s="36"/>
      <c r="AEF32" s="55"/>
      <c r="AEG32" s="54"/>
      <c r="AEH32" s="56"/>
      <c r="AEI32" s="57"/>
      <c r="AEJ32" s="54"/>
      <c r="AEK32" s="54"/>
      <c r="AEL32" s="54"/>
      <c r="AEM32" s="58"/>
      <c r="AEN32" s="58"/>
      <c r="AEO32" s="58"/>
      <c r="AEP32" s="58"/>
      <c r="AEQ32" s="59"/>
      <c r="AER32" s="60"/>
      <c r="AES32" s="54"/>
      <c r="AET32" s="54"/>
      <c r="AEU32" s="36"/>
      <c r="AEV32" s="55"/>
      <c r="AEW32" s="54"/>
      <c r="AEX32" s="56"/>
      <c r="AEY32" s="57"/>
      <c r="AEZ32" s="54"/>
      <c r="AFA32" s="54"/>
      <c r="AFB32" s="54"/>
      <c r="AFC32" s="58"/>
      <c r="AFD32" s="58"/>
      <c r="AFE32" s="58"/>
      <c r="AFF32" s="58"/>
      <c r="AFG32" s="59"/>
      <c r="AFH32" s="60"/>
      <c r="AFI32" s="54"/>
      <c r="AFJ32" s="54"/>
      <c r="AFK32" s="36"/>
      <c r="AFL32" s="55"/>
      <c r="AFM32" s="54"/>
      <c r="AFN32" s="56"/>
      <c r="AFO32" s="57"/>
      <c r="AFP32" s="54"/>
      <c r="AFQ32" s="54"/>
      <c r="AFR32" s="54"/>
      <c r="AFS32" s="58"/>
      <c r="AFT32" s="58"/>
      <c r="AFU32" s="58"/>
      <c r="AFV32" s="58"/>
      <c r="AFW32" s="59"/>
      <c r="AFX32" s="60"/>
      <c r="AFY32" s="54"/>
      <c r="AFZ32" s="54"/>
      <c r="AGA32" s="36"/>
      <c r="AGB32" s="55"/>
      <c r="AGC32" s="54"/>
      <c r="AGD32" s="56"/>
      <c r="AGE32" s="57"/>
      <c r="AGF32" s="54"/>
      <c r="AGG32" s="54"/>
      <c r="AGH32" s="54"/>
      <c r="AGI32" s="58"/>
      <c r="AGJ32" s="58"/>
      <c r="AGK32" s="58"/>
      <c r="AGL32" s="58"/>
      <c r="AGM32" s="59"/>
      <c r="AGN32" s="60"/>
      <c r="AGO32" s="54"/>
      <c r="AGP32" s="54"/>
      <c r="AGQ32" s="36"/>
      <c r="AGR32" s="55"/>
      <c r="AGS32" s="54"/>
      <c r="AGT32" s="56"/>
      <c r="AGU32" s="57"/>
      <c r="AGV32" s="54"/>
      <c r="AGW32" s="54"/>
      <c r="AGX32" s="54"/>
      <c r="AGY32" s="58"/>
      <c r="AGZ32" s="58"/>
      <c r="AHA32" s="58"/>
      <c r="AHB32" s="58"/>
      <c r="AHC32" s="59"/>
      <c r="AHD32" s="60"/>
      <c r="AHE32" s="54"/>
      <c r="AHF32" s="54"/>
      <c r="AHG32" s="36"/>
      <c r="AHH32" s="55"/>
      <c r="AHI32" s="54"/>
      <c r="AHJ32" s="56"/>
      <c r="AHK32" s="57"/>
      <c r="AHL32" s="54"/>
      <c r="AHM32" s="54"/>
      <c r="AHN32" s="54"/>
      <c r="AHO32" s="58"/>
      <c r="AHP32" s="58"/>
      <c r="AHQ32" s="58"/>
      <c r="AHR32" s="58"/>
      <c r="AHS32" s="59"/>
      <c r="AHT32" s="60"/>
      <c r="AHU32" s="54"/>
      <c r="AHV32" s="54"/>
      <c r="AHW32" s="36"/>
      <c r="AHX32" s="55"/>
      <c r="AHY32" s="54"/>
      <c r="AHZ32" s="56"/>
      <c r="AIA32" s="57"/>
      <c r="AIB32" s="54"/>
      <c r="AIC32" s="54"/>
      <c r="AID32" s="54"/>
      <c r="AIE32" s="58"/>
      <c r="AIF32" s="58"/>
      <c r="AIG32" s="58"/>
      <c r="AIH32" s="58"/>
      <c r="AII32" s="59"/>
      <c r="AIJ32" s="60"/>
      <c r="AIK32" s="54"/>
      <c r="AIL32" s="54"/>
      <c r="AIM32" s="36"/>
      <c r="AIN32" s="55"/>
      <c r="AIO32" s="54"/>
      <c r="AIP32" s="56"/>
      <c r="AIQ32" s="57"/>
      <c r="AIR32" s="54"/>
      <c r="AIS32" s="54"/>
      <c r="AIT32" s="54"/>
      <c r="AIU32" s="58"/>
      <c r="AIV32" s="58"/>
      <c r="AIW32" s="58"/>
      <c r="AIX32" s="58"/>
      <c r="AIY32" s="59"/>
      <c r="AIZ32" s="60"/>
      <c r="AJA32" s="54"/>
      <c r="AJB32" s="54"/>
      <c r="AJC32" s="36"/>
      <c r="AJD32" s="55"/>
      <c r="AJE32" s="54"/>
      <c r="AJF32" s="56"/>
      <c r="AJG32" s="57"/>
      <c r="AJH32" s="54"/>
      <c r="AJI32" s="54"/>
      <c r="AJJ32" s="54"/>
      <c r="AJK32" s="58"/>
      <c r="AJL32" s="58"/>
      <c r="AJM32" s="58"/>
      <c r="AJN32" s="58"/>
      <c r="AJO32" s="59"/>
      <c r="AJP32" s="60"/>
      <c r="AJQ32" s="54"/>
      <c r="AJR32" s="54"/>
      <c r="AJS32" s="36"/>
      <c r="AJT32" s="55"/>
      <c r="AJU32" s="54"/>
      <c r="AJV32" s="56"/>
      <c r="AJW32" s="57"/>
      <c r="AJX32" s="54"/>
      <c r="AJY32" s="54"/>
      <c r="AJZ32" s="54"/>
      <c r="AKA32" s="58"/>
      <c r="AKB32" s="58"/>
      <c r="AKC32" s="58"/>
      <c r="AKD32" s="58"/>
      <c r="AKE32" s="59"/>
      <c r="AKF32" s="60"/>
      <c r="AKG32" s="54"/>
      <c r="AKH32" s="54"/>
      <c r="AKI32" s="36"/>
      <c r="AKJ32" s="55"/>
      <c r="AKK32" s="54"/>
      <c r="AKL32" s="56"/>
      <c r="AKM32" s="57"/>
      <c r="AKN32" s="54"/>
      <c r="AKO32" s="54"/>
      <c r="AKP32" s="54"/>
      <c r="AKQ32" s="58"/>
      <c r="AKR32" s="58"/>
      <c r="AKS32" s="58"/>
      <c r="AKT32" s="58"/>
      <c r="AKU32" s="59"/>
      <c r="AKV32" s="60"/>
      <c r="AKW32" s="54"/>
      <c r="AKX32" s="54"/>
      <c r="AKY32" s="36"/>
      <c r="AKZ32" s="55"/>
      <c r="ALA32" s="54"/>
      <c r="ALB32" s="56"/>
      <c r="ALC32" s="57"/>
      <c r="ALD32" s="54"/>
      <c r="ALE32" s="54"/>
      <c r="ALF32" s="54"/>
      <c r="ALG32" s="58"/>
      <c r="ALH32" s="58"/>
      <c r="ALI32" s="58"/>
      <c r="ALJ32" s="58"/>
      <c r="ALK32" s="59"/>
      <c r="ALL32" s="60"/>
      <c r="ALM32" s="54"/>
      <c r="ALN32" s="54"/>
      <c r="ALO32" s="36"/>
      <c r="ALP32" s="55"/>
      <c r="ALQ32" s="54"/>
      <c r="ALR32" s="56"/>
      <c r="ALS32" s="57"/>
      <c r="ALT32" s="54"/>
      <c r="ALU32" s="54"/>
      <c r="ALV32" s="54"/>
      <c r="ALW32" s="58"/>
      <c r="ALX32" s="58"/>
      <c r="ALY32" s="58"/>
      <c r="ALZ32" s="58"/>
      <c r="AMA32" s="59"/>
      <c r="AMB32" s="60"/>
      <c r="AMC32" s="54"/>
      <c r="AMD32" s="54"/>
      <c r="AME32" s="36"/>
      <c r="AMF32" s="55"/>
      <c r="AMG32" s="54"/>
      <c r="AMH32" s="56"/>
      <c r="AMI32" s="57"/>
      <c r="AMJ32" s="54"/>
      <c r="AMK32" s="54"/>
      <c r="AML32" s="54"/>
      <c r="AMM32" s="58"/>
      <c r="AMN32" s="58"/>
      <c r="AMO32" s="58"/>
      <c r="AMP32" s="58"/>
      <c r="AMQ32" s="59"/>
      <c r="AMR32" s="60"/>
      <c r="AMS32" s="54"/>
      <c r="AMT32" s="54"/>
      <c r="AMU32" s="36"/>
      <c r="AMV32" s="55"/>
      <c r="AMW32" s="54"/>
      <c r="AMX32" s="56"/>
      <c r="AMY32" s="57"/>
      <c r="AMZ32" s="54"/>
      <c r="ANA32" s="54"/>
      <c r="ANB32" s="54"/>
      <c r="ANC32" s="58"/>
      <c r="AND32" s="58"/>
      <c r="ANE32" s="58"/>
      <c r="ANF32" s="58"/>
      <c r="ANG32" s="59"/>
      <c r="ANH32" s="60"/>
      <c r="ANI32" s="54"/>
      <c r="ANJ32" s="54"/>
      <c r="ANK32" s="36"/>
      <c r="ANL32" s="55"/>
      <c r="ANM32" s="54"/>
      <c r="ANN32" s="56"/>
      <c r="ANO32" s="57"/>
      <c r="ANP32" s="54"/>
      <c r="ANQ32" s="54"/>
      <c r="ANR32" s="54"/>
      <c r="ANS32" s="58"/>
      <c r="ANT32" s="58"/>
      <c r="ANU32" s="58"/>
      <c r="ANV32" s="58"/>
      <c r="ANW32" s="59"/>
      <c r="ANX32" s="60"/>
      <c r="ANY32" s="54"/>
      <c r="ANZ32" s="54"/>
      <c r="AOA32" s="36"/>
      <c r="AOB32" s="55"/>
      <c r="AOC32" s="54"/>
      <c r="AOD32" s="56"/>
      <c r="AOE32" s="57"/>
      <c r="AOF32" s="54"/>
      <c r="AOG32" s="54"/>
      <c r="AOH32" s="54"/>
      <c r="AOI32" s="58"/>
      <c r="AOJ32" s="58"/>
      <c r="AOK32" s="58"/>
      <c r="AOL32" s="58"/>
      <c r="AOM32" s="59"/>
      <c r="AON32" s="60"/>
      <c r="AOO32" s="54"/>
      <c r="AOP32" s="54"/>
      <c r="AOQ32" s="36"/>
      <c r="AOR32" s="55"/>
      <c r="AOS32" s="54"/>
      <c r="AOT32" s="56"/>
      <c r="AOU32" s="57"/>
      <c r="AOV32" s="54"/>
      <c r="AOW32" s="54"/>
      <c r="AOX32" s="54"/>
      <c r="AOY32" s="58"/>
      <c r="AOZ32" s="58"/>
      <c r="APA32" s="58"/>
      <c r="APB32" s="58"/>
      <c r="APC32" s="59"/>
      <c r="APD32" s="60"/>
      <c r="APE32" s="54"/>
      <c r="APF32" s="54"/>
      <c r="APG32" s="36"/>
      <c r="APH32" s="55"/>
      <c r="API32" s="54"/>
      <c r="APJ32" s="56"/>
      <c r="APK32" s="57"/>
      <c r="APL32" s="54"/>
      <c r="APM32" s="54"/>
      <c r="APN32" s="54"/>
      <c r="APO32" s="58"/>
      <c r="APP32" s="58"/>
      <c r="APQ32" s="58"/>
      <c r="APR32" s="58"/>
      <c r="APS32" s="59"/>
      <c r="APT32" s="60"/>
      <c r="APU32" s="54"/>
      <c r="APV32" s="54"/>
      <c r="APW32" s="36"/>
      <c r="APX32" s="55"/>
      <c r="APY32" s="54"/>
      <c r="APZ32" s="56"/>
      <c r="AQA32" s="57"/>
      <c r="AQB32" s="54"/>
      <c r="AQC32" s="54"/>
      <c r="AQD32" s="54"/>
      <c r="AQE32" s="58"/>
      <c r="AQF32" s="58"/>
      <c r="AQG32" s="58"/>
      <c r="AQH32" s="58"/>
      <c r="AQI32" s="59"/>
      <c r="AQJ32" s="60"/>
      <c r="AQK32" s="54"/>
      <c r="AQL32" s="54"/>
      <c r="AQM32" s="36"/>
      <c r="AQN32" s="55"/>
      <c r="AQO32" s="54"/>
      <c r="AQP32" s="56"/>
      <c r="AQQ32" s="57"/>
      <c r="AQR32" s="54"/>
      <c r="AQS32" s="54"/>
      <c r="AQT32" s="54"/>
      <c r="AQU32" s="58"/>
      <c r="AQV32" s="58"/>
      <c r="AQW32" s="58"/>
      <c r="AQX32" s="58"/>
      <c r="AQY32" s="59"/>
      <c r="AQZ32" s="60"/>
      <c r="ARA32" s="54"/>
      <c r="ARB32" s="54"/>
      <c r="ARC32" s="36"/>
      <c r="ARD32" s="55"/>
      <c r="ARE32" s="54"/>
      <c r="ARF32" s="56"/>
      <c r="ARG32" s="57"/>
      <c r="ARH32" s="54"/>
      <c r="ARI32" s="54"/>
      <c r="ARJ32" s="54"/>
      <c r="ARK32" s="58"/>
      <c r="ARL32" s="58"/>
      <c r="ARM32" s="58"/>
      <c r="ARN32" s="58"/>
      <c r="ARO32" s="59"/>
      <c r="ARP32" s="60"/>
      <c r="ARQ32" s="54"/>
      <c r="ARR32" s="54"/>
      <c r="ARS32" s="36"/>
      <c r="ART32" s="55"/>
      <c r="ARU32" s="54"/>
      <c r="ARV32" s="56"/>
      <c r="ARW32" s="57"/>
      <c r="ARX32" s="54"/>
      <c r="ARY32" s="54"/>
      <c r="ARZ32" s="54"/>
      <c r="ASA32" s="58"/>
      <c r="ASB32" s="58"/>
      <c r="ASC32" s="58"/>
      <c r="ASD32" s="58"/>
      <c r="ASE32" s="59"/>
      <c r="ASF32" s="60"/>
      <c r="ASG32" s="54"/>
      <c r="ASH32" s="54"/>
      <c r="ASI32" s="36"/>
      <c r="ASJ32" s="55"/>
      <c r="ASK32" s="54"/>
      <c r="ASL32" s="56"/>
      <c r="ASM32" s="57"/>
      <c r="ASN32" s="54"/>
      <c r="ASO32" s="54"/>
      <c r="ASP32" s="54"/>
      <c r="ASQ32" s="58"/>
      <c r="ASR32" s="58"/>
      <c r="ASS32" s="58"/>
      <c r="AST32" s="58"/>
      <c r="ASU32" s="59"/>
      <c r="ASV32" s="60"/>
      <c r="ASW32" s="54"/>
      <c r="ASX32" s="54"/>
      <c r="ASY32" s="36"/>
      <c r="ASZ32" s="55"/>
      <c r="ATA32" s="54"/>
      <c r="ATB32" s="56"/>
      <c r="ATC32" s="57"/>
      <c r="ATD32" s="54"/>
      <c r="ATE32" s="54"/>
      <c r="ATF32" s="54"/>
      <c r="ATG32" s="58"/>
      <c r="ATH32" s="58"/>
      <c r="ATI32" s="58"/>
      <c r="ATJ32" s="58"/>
      <c r="ATK32" s="59"/>
      <c r="ATL32" s="60"/>
      <c r="ATM32" s="54"/>
      <c r="ATN32" s="54"/>
      <c r="ATO32" s="36"/>
      <c r="ATP32" s="55"/>
      <c r="ATQ32" s="54"/>
      <c r="ATR32" s="56"/>
      <c r="ATS32" s="57"/>
      <c r="ATT32" s="54"/>
      <c r="ATU32" s="54"/>
      <c r="ATV32" s="54"/>
      <c r="ATW32" s="58"/>
      <c r="ATX32" s="58"/>
      <c r="ATY32" s="58"/>
      <c r="ATZ32" s="58"/>
      <c r="AUA32" s="59"/>
      <c r="AUB32" s="60"/>
      <c r="AUC32" s="54"/>
      <c r="AUD32" s="54"/>
      <c r="AUE32" s="36"/>
      <c r="AUF32" s="55"/>
      <c r="AUG32" s="54"/>
      <c r="AUH32" s="56"/>
      <c r="AUI32" s="57"/>
      <c r="AUJ32" s="54"/>
      <c r="AUK32" s="54"/>
      <c r="AUL32" s="54"/>
      <c r="AUM32" s="58"/>
      <c r="AUN32" s="58"/>
      <c r="AUO32" s="58"/>
      <c r="AUP32" s="58"/>
      <c r="AUQ32" s="59"/>
      <c r="AUR32" s="60"/>
      <c r="AUS32" s="54"/>
      <c r="AUT32" s="54"/>
      <c r="AUU32" s="36"/>
      <c r="AUV32" s="55"/>
      <c r="AUW32" s="54"/>
      <c r="AUX32" s="56"/>
      <c r="AUY32" s="57"/>
      <c r="AUZ32" s="54"/>
      <c r="AVA32" s="54"/>
      <c r="AVB32" s="54"/>
      <c r="AVC32" s="58"/>
      <c r="AVD32" s="58"/>
      <c r="AVE32" s="58"/>
      <c r="AVF32" s="58"/>
      <c r="AVG32" s="59"/>
      <c r="AVH32" s="60"/>
      <c r="AVI32" s="54"/>
      <c r="AVJ32" s="54"/>
      <c r="AVK32" s="36"/>
      <c r="AVL32" s="55"/>
      <c r="AVM32" s="54"/>
      <c r="AVN32" s="56"/>
      <c r="AVO32" s="57"/>
      <c r="AVP32" s="54"/>
      <c r="AVQ32" s="54"/>
      <c r="AVR32" s="54"/>
      <c r="AVS32" s="58"/>
      <c r="AVT32" s="58"/>
      <c r="AVU32" s="58"/>
      <c r="AVV32" s="58"/>
      <c r="AVW32" s="59"/>
      <c r="AVX32" s="60"/>
      <c r="AVY32" s="54"/>
      <c r="AVZ32" s="54"/>
      <c r="AWA32" s="36"/>
      <c r="AWB32" s="55"/>
      <c r="AWC32" s="54"/>
      <c r="AWD32" s="56"/>
      <c r="AWE32" s="57"/>
      <c r="AWF32" s="54"/>
      <c r="AWG32" s="54"/>
      <c r="AWH32" s="54"/>
      <c r="AWI32" s="58"/>
      <c r="AWJ32" s="58"/>
      <c r="AWK32" s="58"/>
      <c r="AWL32" s="58"/>
      <c r="AWM32" s="59"/>
      <c r="AWN32" s="60"/>
      <c r="AWO32" s="54"/>
      <c r="AWP32" s="54"/>
      <c r="AWQ32" s="36"/>
      <c r="AWR32" s="55"/>
      <c r="AWS32" s="54"/>
      <c r="AWT32" s="56"/>
      <c r="AWU32" s="57"/>
      <c r="AWV32" s="54"/>
      <c r="AWW32" s="54"/>
      <c r="AWX32" s="54"/>
      <c r="AWY32" s="58"/>
      <c r="AWZ32" s="58"/>
      <c r="AXA32" s="58"/>
      <c r="AXB32" s="58"/>
      <c r="AXC32" s="59"/>
      <c r="AXD32" s="60"/>
      <c r="AXE32" s="54"/>
      <c r="AXF32" s="54"/>
      <c r="AXG32" s="36"/>
      <c r="AXH32" s="55"/>
      <c r="AXI32" s="54"/>
      <c r="AXJ32" s="56"/>
      <c r="AXK32" s="57"/>
      <c r="AXL32" s="54"/>
      <c r="AXM32" s="54"/>
      <c r="AXN32" s="54"/>
      <c r="AXO32" s="58"/>
      <c r="AXP32" s="58"/>
      <c r="AXQ32" s="58"/>
      <c r="AXR32" s="58"/>
      <c r="AXS32" s="59"/>
      <c r="AXT32" s="60"/>
      <c r="AXU32" s="54"/>
      <c r="AXV32" s="54"/>
      <c r="AXW32" s="36"/>
      <c r="AXX32" s="55"/>
      <c r="AXY32" s="54"/>
      <c r="AXZ32" s="56"/>
      <c r="AYA32" s="57"/>
      <c r="AYB32" s="54"/>
      <c r="AYC32" s="54"/>
      <c r="AYD32" s="54"/>
      <c r="AYE32" s="58"/>
      <c r="AYF32" s="58"/>
      <c r="AYG32" s="58"/>
      <c r="AYH32" s="58"/>
      <c r="AYI32" s="59"/>
      <c r="AYJ32" s="60"/>
      <c r="AYK32" s="54"/>
      <c r="AYL32" s="54"/>
      <c r="AYM32" s="36"/>
      <c r="AYN32" s="55"/>
      <c r="AYO32" s="54"/>
      <c r="AYP32" s="56"/>
      <c r="AYQ32" s="57"/>
      <c r="AYR32" s="54"/>
      <c r="AYS32" s="54"/>
      <c r="AYT32" s="54"/>
      <c r="AYU32" s="58"/>
      <c r="AYV32" s="58"/>
      <c r="AYW32" s="58"/>
      <c r="AYX32" s="58"/>
      <c r="AYY32" s="59"/>
      <c r="AYZ32" s="60"/>
      <c r="AZA32" s="54"/>
      <c r="AZB32" s="54"/>
      <c r="AZC32" s="36"/>
      <c r="AZD32" s="55"/>
      <c r="AZE32" s="54"/>
      <c r="AZF32" s="56"/>
      <c r="AZG32" s="57"/>
      <c r="AZH32" s="54"/>
      <c r="AZI32" s="54"/>
      <c r="AZJ32" s="54"/>
      <c r="AZK32" s="58"/>
      <c r="AZL32" s="58"/>
      <c r="AZM32" s="58"/>
      <c r="AZN32" s="58"/>
      <c r="AZO32" s="59"/>
      <c r="AZP32" s="60"/>
      <c r="AZQ32" s="54"/>
      <c r="AZR32" s="54"/>
      <c r="AZS32" s="36"/>
      <c r="AZT32" s="55"/>
      <c r="AZU32" s="54"/>
      <c r="AZV32" s="56"/>
      <c r="AZW32" s="57"/>
      <c r="AZX32" s="54"/>
      <c r="AZY32" s="54"/>
      <c r="AZZ32" s="54"/>
      <c r="BAA32" s="58"/>
      <c r="BAB32" s="58"/>
      <c r="BAC32" s="58"/>
      <c r="BAD32" s="58"/>
      <c r="BAE32" s="59"/>
      <c r="BAF32" s="60"/>
      <c r="BAG32" s="54"/>
      <c r="BAH32" s="54"/>
      <c r="BAI32" s="36"/>
      <c r="BAJ32" s="55"/>
      <c r="BAK32" s="54"/>
      <c r="BAL32" s="56"/>
      <c r="BAM32" s="57"/>
      <c r="BAN32" s="54"/>
      <c r="BAO32" s="54"/>
      <c r="BAP32" s="54"/>
      <c r="BAQ32" s="58"/>
      <c r="BAR32" s="58"/>
      <c r="BAS32" s="58"/>
      <c r="BAT32" s="58"/>
      <c r="BAU32" s="59"/>
      <c r="BAV32" s="60"/>
      <c r="BAW32" s="54"/>
      <c r="BAX32" s="54"/>
      <c r="BAY32" s="36"/>
      <c r="BAZ32" s="55"/>
      <c r="BBA32" s="54"/>
      <c r="BBB32" s="56"/>
      <c r="BBC32" s="57"/>
      <c r="BBD32" s="54"/>
      <c r="BBE32" s="54"/>
      <c r="BBF32" s="54"/>
      <c r="BBG32" s="58"/>
      <c r="BBH32" s="58"/>
      <c r="BBI32" s="58"/>
      <c r="BBJ32" s="58"/>
      <c r="BBK32" s="59"/>
      <c r="BBL32" s="60"/>
      <c r="BBM32" s="54"/>
      <c r="BBN32" s="54"/>
      <c r="BBO32" s="36"/>
      <c r="BBP32" s="55"/>
      <c r="BBQ32" s="54"/>
      <c r="BBR32" s="56"/>
      <c r="BBS32" s="57"/>
      <c r="BBT32" s="54"/>
      <c r="BBU32" s="54"/>
      <c r="BBV32" s="54"/>
      <c r="BBW32" s="58"/>
      <c r="BBX32" s="58"/>
      <c r="BBY32" s="58"/>
      <c r="BBZ32" s="58"/>
      <c r="BCA32" s="59"/>
      <c r="BCB32" s="60"/>
      <c r="BCC32" s="54"/>
      <c r="BCD32" s="54"/>
      <c r="BCE32" s="36"/>
      <c r="BCF32" s="55"/>
      <c r="BCG32" s="54"/>
      <c r="BCH32" s="56"/>
      <c r="BCI32" s="57"/>
      <c r="BCJ32" s="54"/>
      <c r="BCK32" s="54"/>
      <c r="BCL32" s="54"/>
      <c r="BCM32" s="58"/>
      <c r="BCN32" s="58"/>
      <c r="BCO32" s="58"/>
      <c r="BCP32" s="58"/>
      <c r="BCQ32" s="59"/>
      <c r="BCR32" s="60"/>
      <c r="BCS32" s="54"/>
      <c r="BCT32" s="54"/>
      <c r="BCU32" s="36"/>
      <c r="BCV32" s="55"/>
      <c r="BCW32" s="54"/>
      <c r="BCX32" s="56"/>
      <c r="BCY32" s="57"/>
      <c r="BCZ32" s="54"/>
      <c r="BDA32" s="54"/>
      <c r="BDB32" s="54"/>
      <c r="BDC32" s="58"/>
      <c r="BDD32" s="58"/>
      <c r="BDE32" s="58"/>
      <c r="BDF32" s="58"/>
      <c r="BDG32" s="59"/>
      <c r="BDH32" s="60"/>
      <c r="BDI32" s="54"/>
      <c r="BDJ32" s="54"/>
      <c r="BDK32" s="36"/>
      <c r="BDL32" s="55"/>
      <c r="BDM32" s="54"/>
      <c r="BDN32" s="56"/>
      <c r="BDO32" s="57"/>
      <c r="BDP32" s="54"/>
      <c r="BDQ32" s="54"/>
      <c r="BDR32" s="54"/>
      <c r="BDS32" s="58"/>
      <c r="BDT32" s="58"/>
      <c r="BDU32" s="58"/>
      <c r="BDV32" s="58"/>
      <c r="BDW32" s="59"/>
      <c r="BDX32" s="60"/>
      <c r="BDY32" s="54"/>
      <c r="BDZ32" s="54"/>
      <c r="BEA32" s="36"/>
      <c r="BEB32" s="55"/>
      <c r="BEC32" s="54"/>
      <c r="BED32" s="56"/>
      <c r="BEE32" s="57"/>
      <c r="BEF32" s="54"/>
      <c r="BEG32" s="54"/>
      <c r="BEH32" s="54"/>
      <c r="BEI32" s="58"/>
      <c r="BEJ32" s="58"/>
      <c r="BEK32" s="58"/>
      <c r="BEL32" s="58"/>
      <c r="BEM32" s="59"/>
      <c r="BEN32" s="60"/>
      <c r="BEO32" s="54"/>
      <c r="BEP32" s="54"/>
      <c r="BEQ32" s="36"/>
      <c r="BER32" s="55"/>
      <c r="BES32" s="54"/>
      <c r="BET32" s="56"/>
      <c r="BEU32" s="57"/>
      <c r="BEV32" s="54"/>
      <c r="BEW32" s="54"/>
      <c r="BEX32" s="54"/>
      <c r="BEY32" s="58"/>
      <c r="BEZ32" s="58"/>
      <c r="BFA32" s="58"/>
      <c r="BFB32" s="58"/>
      <c r="BFC32" s="59"/>
      <c r="BFD32" s="60"/>
      <c r="BFE32" s="54"/>
      <c r="BFF32" s="54"/>
      <c r="BFG32" s="36"/>
      <c r="BFH32" s="55"/>
      <c r="BFI32" s="54"/>
      <c r="BFJ32" s="56"/>
      <c r="BFK32" s="57"/>
      <c r="BFL32" s="54"/>
      <c r="BFM32" s="54"/>
      <c r="BFN32" s="54"/>
      <c r="BFO32" s="58"/>
      <c r="BFP32" s="58"/>
      <c r="BFQ32" s="58"/>
      <c r="BFR32" s="58"/>
      <c r="BFS32" s="59"/>
      <c r="BFT32" s="60"/>
      <c r="BFU32" s="54"/>
      <c r="BFV32" s="54"/>
      <c r="BFW32" s="36"/>
      <c r="BFX32" s="55"/>
      <c r="BFY32" s="54"/>
      <c r="BFZ32" s="56"/>
      <c r="BGA32" s="57"/>
      <c r="BGB32" s="54"/>
      <c r="BGC32" s="54"/>
      <c r="BGD32" s="54"/>
      <c r="BGE32" s="58"/>
      <c r="BGF32" s="58"/>
      <c r="BGG32" s="58"/>
      <c r="BGH32" s="58"/>
      <c r="BGI32" s="59"/>
      <c r="BGJ32" s="60"/>
      <c r="BGK32" s="54"/>
      <c r="BGL32" s="54"/>
      <c r="BGM32" s="36"/>
      <c r="BGN32" s="55"/>
      <c r="BGO32" s="54"/>
      <c r="BGP32" s="56"/>
      <c r="BGQ32" s="57"/>
      <c r="BGR32" s="54"/>
      <c r="BGS32" s="54"/>
      <c r="BGT32" s="54"/>
      <c r="BGU32" s="58"/>
      <c r="BGV32" s="58"/>
      <c r="BGW32" s="58"/>
      <c r="BGX32" s="58"/>
      <c r="BGY32" s="59"/>
      <c r="BGZ32" s="60"/>
      <c r="BHA32" s="54"/>
      <c r="BHB32" s="54"/>
      <c r="BHC32" s="36"/>
      <c r="BHD32" s="55"/>
      <c r="BHE32" s="54"/>
      <c r="BHF32" s="56"/>
      <c r="BHG32" s="57"/>
      <c r="BHH32" s="54"/>
      <c r="BHI32" s="54"/>
      <c r="BHJ32" s="54"/>
      <c r="BHK32" s="58"/>
      <c r="BHL32" s="58"/>
      <c r="BHM32" s="58"/>
      <c r="BHN32" s="58"/>
      <c r="BHO32" s="59"/>
      <c r="BHP32" s="60"/>
      <c r="BHQ32" s="54"/>
      <c r="BHR32" s="54"/>
      <c r="BHS32" s="36"/>
      <c r="BHT32" s="55"/>
      <c r="BHU32" s="54"/>
      <c r="BHV32" s="56"/>
      <c r="BHW32" s="57"/>
      <c r="BHX32" s="54"/>
      <c r="BHY32" s="54"/>
      <c r="BHZ32" s="54"/>
      <c r="BIA32" s="58"/>
      <c r="BIB32" s="58"/>
      <c r="BIC32" s="58"/>
      <c r="BID32" s="58"/>
      <c r="BIE32" s="59"/>
      <c r="BIF32" s="60"/>
      <c r="BIG32" s="54"/>
      <c r="BIH32" s="54"/>
      <c r="BII32" s="36"/>
      <c r="BIJ32" s="55"/>
      <c r="BIK32" s="54"/>
      <c r="BIL32" s="56"/>
      <c r="BIM32" s="57"/>
      <c r="BIN32" s="54"/>
      <c r="BIO32" s="54"/>
      <c r="BIP32" s="54"/>
      <c r="BIQ32" s="58"/>
      <c r="BIR32" s="58"/>
      <c r="BIS32" s="58"/>
      <c r="BIT32" s="58"/>
      <c r="BIU32" s="59"/>
      <c r="BIV32" s="60"/>
      <c r="BIW32" s="54"/>
      <c r="BIX32" s="54"/>
      <c r="BIY32" s="36"/>
      <c r="BIZ32" s="55"/>
      <c r="BJA32" s="54"/>
      <c r="BJB32" s="56"/>
      <c r="BJC32" s="57"/>
      <c r="BJD32" s="54"/>
      <c r="BJE32" s="54"/>
      <c r="BJF32" s="54"/>
      <c r="BJG32" s="58"/>
      <c r="BJH32" s="58"/>
      <c r="BJI32" s="58"/>
      <c r="BJJ32" s="58"/>
      <c r="BJK32" s="59"/>
      <c r="BJL32" s="60"/>
      <c r="BJM32" s="54"/>
      <c r="BJN32" s="54"/>
      <c r="BJO32" s="36"/>
      <c r="BJP32" s="55"/>
      <c r="BJQ32" s="54"/>
      <c r="BJR32" s="56"/>
      <c r="BJS32" s="57"/>
      <c r="BJT32" s="54"/>
      <c r="BJU32" s="54"/>
      <c r="BJV32" s="54"/>
      <c r="BJW32" s="58"/>
      <c r="BJX32" s="58"/>
      <c r="BJY32" s="58"/>
      <c r="BJZ32" s="58"/>
      <c r="BKA32" s="59"/>
      <c r="BKB32" s="60"/>
      <c r="BKC32" s="54"/>
      <c r="BKD32" s="54"/>
      <c r="BKE32" s="36"/>
      <c r="BKF32" s="55"/>
      <c r="BKG32" s="54"/>
      <c r="BKH32" s="56"/>
      <c r="BKI32" s="57"/>
      <c r="BKJ32" s="54"/>
      <c r="BKK32" s="54"/>
      <c r="BKL32" s="54"/>
      <c r="BKM32" s="58"/>
      <c r="BKN32" s="58"/>
      <c r="BKO32" s="58"/>
      <c r="BKP32" s="58"/>
      <c r="BKQ32" s="59"/>
      <c r="BKR32" s="60"/>
      <c r="BKS32" s="54"/>
      <c r="BKT32" s="54"/>
      <c r="BKU32" s="36"/>
      <c r="BKV32" s="55"/>
      <c r="BKW32" s="54"/>
      <c r="BKX32" s="56"/>
      <c r="BKY32" s="57"/>
      <c r="BKZ32" s="54"/>
      <c r="BLA32" s="54"/>
      <c r="BLB32" s="54"/>
      <c r="BLC32" s="58"/>
      <c r="BLD32" s="58"/>
      <c r="BLE32" s="58"/>
      <c r="BLF32" s="58"/>
      <c r="BLG32" s="59"/>
      <c r="BLH32" s="60"/>
      <c r="BLI32" s="54"/>
      <c r="BLJ32" s="54"/>
      <c r="BLK32" s="36"/>
      <c r="BLL32" s="55"/>
      <c r="BLM32" s="54"/>
      <c r="BLN32" s="56"/>
      <c r="BLO32" s="57"/>
      <c r="BLP32" s="54"/>
      <c r="BLQ32" s="54"/>
      <c r="BLR32" s="54"/>
      <c r="BLS32" s="58"/>
      <c r="BLT32" s="58"/>
      <c r="BLU32" s="58"/>
      <c r="BLV32" s="58"/>
      <c r="BLW32" s="59"/>
      <c r="BLX32" s="60"/>
      <c r="BLY32" s="54"/>
      <c r="BLZ32" s="54"/>
      <c r="BMA32" s="36"/>
      <c r="BMB32" s="55"/>
      <c r="BMC32" s="54"/>
      <c r="BMD32" s="56"/>
      <c r="BME32" s="57"/>
      <c r="BMF32" s="54"/>
      <c r="BMG32" s="54"/>
      <c r="BMH32" s="54"/>
      <c r="BMI32" s="58"/>
      <c r="BMJ32" s="58"/>
      <c r="BMK32" s="58"/>
      <c r="BML32" s="58"/>
      <c r="BMM32" s="59"/>
      <c r="BMN32" s="60"/>
      <c r="BMO32" s="54"/>
      <c r="BMP32" s="54"/>
      <c r="BMQ32" s="36"/>
      <c r="BMR32" s="55"/>
      <c r="BMS32" s="54"/>
      <c r="BMT32" s="56"/>
      <c r="BMU32" s="57"/>
      <c r="BMV32" s="54"/>
      <c r="BMW32" s="54"/>
      <c r="BMX32" s="54"/>
      <c r="BMY32" s="58"/>
      <c r="BMZ32" s="58"/>
      <c r="BNA32" s="58"/>
      <c r="BNB32" s="58"/>
      <c r="BNC32" s="59"/>
      <c r="BND32" s="60"/>
      <c r="BNE32" s="54"/>
      <c r="BNF32" s="54"/>
      <c r="BNG32" s="36"/>
      <c r="BNH32" s="55"/>
      <c r="BNI32" s="54"/>
      <c r="BNJ32" s="56"/>
      <c r="BNK32" s="57"/>
      <c r="BNL32" s="54"/>
      <c r="BNM32" s="54"/>
      <c r="BNN32" s="54"/>
      <c r="BNO32" s="58"/>
      <c r="BNP32" s="58"/>
      <c r="BNQ32" s="58"/>
      <c r="BNR32" s="58"/>
      <c r="BNS32" s="59"/>
      <c r="BNT32" s="60"/>
      <c r="BNU32" s="54"/>
      <c r="BNV32" s="54"/>
      <c r="BNW32" s="36"/>
      <c r="BNX32" s="55"/>
      <c r="BNY32" s="54"/>
      <c r="BNZ32" s="56"/>
      <c r="BOA32" s="57"/>
      <c r="BOB32" s="54"/>
      <c r="BOC32" s="54"/>
      <c r="BOD32" s="54"/>
      <c r="BOE32" s="58"/>
      <c r="BOF32" s="58"/>
      <c r="BOG32" s="58"/>
      <c r="BOH32" s="58"/>
      <c r="BOI32" s="59"/>
      <c r="BOJ32" s="60"/>
      <c r="BOK32" s="54"/>
      <c r="BOL32" s="54"/>
      <c r="BOM32" s="36"/>
      <c r="BON32" s="55"/>
      <c r="BOO32" s="54"/>
      <c r="BOP32" s="56"/>
      <c r="BOQ32" s="57"/>
      <c r="BOR32" s="54"/>
      <c r="BOS32" s="54"/>
      <c r="BOT32" s="54"/>
      <c r="BOU32" s="58"/>
      <c r="BOV32" s="58"/>
      <c r="BOW32" s="58"/>
      <c r="BOX32" s="58"/>
      <c r="BOY32" s="59"/>
      <c r="BOZ32" s="60"/>
      <c r="BPA32" s="54"/>
      <c r="BPB32" s="54"/>
      <c r="BPC32" s="36"/>
      <c r="BPD32" s="55"/>
      <c r="BPE32" s="54"/>
      <c r="BPF32" s="56"/>
      <c r="BPG32" s="57"/>
      <c r="BPH32" s="54"/>
      <c r="BPI32" s="54"/>
      <c r="BPJ32" s="54"/>
      <c r="BPK32" s="58"/>
      <c r="BPL32" s="58"/>
      <c r="BPM32" s="58"/>
      <c r="BPN32" s="58"/>
      <c r="BPO32" s="59"/>
      <c r="BPP32" s="60"/>
      <c r="BPQ32" s="54"/>
      <c r="BPR32" s="54"/>
      <c r="BPS32" s="36"/>
      <c r="BPT32" s="55"/>
      <c r="BPU32" s="54"/>
      <c r="BPV32" s="56"/>
      <c r="BPW32" s="57"/>
      <c r="BPX32" s="54"/>
      <c r="BPY32" s="54"/>
      <c r="BPZ32" s="54"/>
      <c r="BQA32" s="58"/>
      <c r="BQB32" s="58"/>
      <c r="BQC32" s="58"/>
      <c r="BQD32" s="58"/>
      <c r="BQE32" s="59"/>
      <c r="BQF32" s="60"/>
      <c r="BQG32" s="54"/>
      <c r="BQH32" s="54"/>
      <c r="BQI32" s="36"/>
      <c r="BQJ32" s="55"/>
      <c r="BQK32" s="54"/>
      <c r="BQL32" s="56"/>
      <c r="BQM32" s="57"/>
      <c r="BQN32" s="54"/>
      <c r="BQO32" s="54"/>
      <c r="BQP32" s="54"/>
      <c r="BQQ32" s="58"/>
      <c r="BQR32" s="58"/>
      <c r="BQS32" s="58"/>
      <c r="BQT32" s="58"/>
      <c r="BQU32" s="59"/>
      <c r="BQV32" s="60"/>
      <c r="BQW32" s="54"/>
      <c r="BQX32" s="54"/>
      <c r="BQY32" s="36"/>
      <c r="BQZ32" s="55"/>
      <c r="BRA32" s="54"/>
      <c r="BRB32" s="56"/>
      <c r="BRC32" s="57"/>
      <c r="BRD32" s="54"/>
      <c r="BRE32" s="54"/>
      <c r="BRF32" s="54"/>
      <c r="BRG32" s="58"/>
      <c r="BRH32" s="58"/>
      <c r="BRI32" s="58"/>
      <c r="BRJ32" s="58"/>
      <c r="BRK32" s="59"/>
      <c r="BRL32" s="60"/>
      <c r="BRM32" s="54"/>
      <c r="BRN32" s="54"/>
      <c r="BRO32" s="36"/>
      <c r="BRP32" s="55"/>
      <c r="BRQ32" s="54"/>
      <c r="BRR32" s="56"/>
      <c r="BRS32" s="57"/>
      <c r="BRT32" s="54"/>
      <c r="BRU32" s="54"/>
      <c r="BRV32" s="54"/>
      <c r="BRW32" s="58"/>
      <c r="BRX32" s="58"/>
      <c r="BRY32" s="58"/>
      <c r="BRZ32" s="58"/>
      <c r="BSA32" s="59"/>
      <c r="BSB32" s="60"/>
      <c r="BSC32" s="54"/>
      <c r="BSD32" s="54"/>
      <c r="BSE32" s="36"/>
      <c r="BSF32" s="55"/>
      <c r="BSG32" s="54"/>
      <c r="BSH32" s="56"/>
      <c r="BSI32" s="57"/>
      <c r="BSJ32" s="54"/>
      <c r="BSK32" s="54"/>
      <c r="BSL32" s="54"/>
      <c r="BSM32" s="58"/>
      <c r="BSN32" s="58"/>
      <c r="BSO32" s="58"/>
      <c r="BSP32" s="58"/>
      <c r="BSQ32" s="59"/>
      <c r="BSR32" s="60"/>
      <c r="BSS32" s="54"/>
      <c r="BST32" s="54"/>
      <c r="BSU32" s="36"/>
      <c r="BSV32" s="55"/>
      <c r="BSW32" s="54"/>
      <c r="BSX32" s="56"/>
      <c r="BSY32" s="57"/>
      <c r="BSZ32" s="54"/>
      <c r="BTA32" s="54"/>
      <c r="BTB32" s="54"/>
      <c r="BTC32" s="58"/>
      <c r="BTD32" s="58"/>
      <c r="BTE32" s="58"/>
      <c r="BTF32" s="58"/>
      <c r="BTG32" s="59"/>
      <c r="BTH32" s="60"/>
      <c r="BTI32" s="54"/>
      <c r="BTJ32" s="54"/>
      <c r="BTK32" s="36"/>
      <c r="BTL32" s="55"/>
      <c r="BTM32" s="54"/>
      <c r="BTN32" s="56"/>
      <c r="BTO32" s="57"/>
      <c r="BTP32" s="54"/>
      <c r="BTQ32" s="54"/>
      <c r="BTR32" s="54"/>
      <c r="BTS32" s="58"/>
      <c r="BTT32" s="58"/>
      <c r="BTU32" s="58"/>
      <c r="BTV32" s="58"/>
      <c r="BTW32" s="59"/>
      <c r="BTX32" s="60"/>
      <c r="BTY32" s="54"/>
      <c r="BTZ32" s="54"/>
      <c r="BUA32" s="36"/>
      <c r="BUB32" s="55"/>
      <c r="BUC32" s="54"/>
      <c r="BUD32" s="56"/>
      <c r="BUE32" s="57"/>
      <c r="BUF32" s="54"/>
      <c r="BUG32" s="54"/>
      <c r="BUH32" s="54"/>
      <c r="BUI32" s="58"/>
      <c r="BUJ32" s="58"/>
      <c r="BUK32" s="58"/>
      <c r="BUL32" s="58"/>
      <c r="BUM32" s="59"/>
      <c r="BUN32" s="60"/>
      <c r="BUO32" s="54"/>
      <c r="BUP32" s="54"/>
      <c r="BUQ32" s="36"/>
      <c r="BUR32" s="55"/>
      <c r="BUS32" s="54"/>
      <c r="BUT32" s="56"/>
      <c r="BUU32" s="57"/>
      <c r="BUV32" s="54"/>
      <c r="BUW32" s="54"/>
      <c r="BUX32" s="54"/>
      <c r="BUY32" s="58"/>
      <c r="BUZ32" s="58"/>
      <c r="BVA32" s="58"/>
      <c r="BVB32" s="58"/>
      <c r="BVC32" s="59"/>
      <c r="BVD32" s="60"/>
      <c r="BVE32" s="54"/>
      <c r="BVF32" s="54"/>
      <c r="BVG32" s="36"/>
      <c r="BVH32" s="55"/>
      <c r="BVI32" s="54"/>
      <c r="BVJ32" s="56"/>
      <c r="BVK32" s="57"/>
      <c r="BVL32" s="54"/>
      <c r="BVM32" s="54"/>
      <c r="BVN32" s="54"/>
      <c r="BVO32" s="58"/>
      <c r="BVP32" s="58"/>
      <c r="BVQ32" s="58"/>
      <c r="BVR32" s="58"/>
      <c r="BVS32" s="59"/>
      <c r="BVT32" s="60"/>
      <c r="BVU32" s="54"/>
      <c r="BVV32" s="54"/>
      <c r="BVW32" s="36"/>
      <c r="BVX32" s="55"/>
      <c r="BVY32" s="54"/>
      <c r="BVZ32" s="56"/>
      <c r="BWA32" s="57"/>
      <c r="BWB32" s="54"/>
      <c r="BWC32" s="54"/>
      <c r="BWD32" s="54"/>
      <c r="BWE32" s="58"/>
      <c r="BWF32" s="58"/>
      <c r="BWG32" s="58"/>
      <c r="BWH32" s="58"/>
      <c r="BWI32" s="59"/>
      <c r="BWJ32" s="60"/>
      <c r="BWK32" s="54"/>
      <c r="BWL32" s="54"/>
      <c r="BWM32" s="36"/>
      <c r="BWN32" s="55"/>
      <c r="BWO32" s="54"/>
      <c r="BWP32" s="56"/>
      <c r="BWQ32" s="57"/>
      <c r="BWR32" s="54"/>
      <c r="BWS32" s="54"/>
      <c r="BWT32" s="54"/>
      <c r="BWU32" s="58"/>
      <c r="BWV32" s="58"/>
      <c r="BWW32" s="58"/>
      <c r="BWX32" s="58"/>
      <c r="BWY32" s="59"/>
      <c r="BWZ32" s="60"/>
      <c r="BXA32" s="54"/>
      <c r="BXB32" s="54"/>
      <c r="BXC32" s="36"/>
      <c r="BXD32" s="55"/>
      <c r="BXE32" s="54"/>
      <c r="BXF32" s="56"/>
      <c r="BXG32" s="57"/>
      <c r="BXH32" s="54"/>
      <c r="BXI32" s="54"/>
      <c r="BXJ32" s="54"/>
      <c r="BXK32" s="58"/>
      <c r="BXL32" s="58"/>
      <c r="BXM32" s="58"/>
      <c r="BXN32" s="58"/>
      <c r="BXO32" s="59"/>
      <c r="BXP32" s="60"/>
      <c r="BXQ32" s="54"/>
      <c r="BXR32" s="54"/>
      <c r="BXS32" s="36"/>
      <c r="BXT32" s="55"/>
      <c r="BXU32" s="54"/>
      <c r="BXV32" s="56"/>
      <c r="BXW32" s="57"/>
      <c r="BXX32" s="54"/>
      <c r="BXY32" s="54"/>
      <c r="BXZ32" s="54"/>
      <c r="BYA32" s="58"/>
      <c r="BYB32" s="58"/>
      <c r="BYC32" s="58"/>
      <c r="BYD32" s="58"/>
      <c r="BYE32" s="59"/>
      <c r="BYF32" s="60"/>
      <c r="BYG32" s="54"/>
      <c r="BYH32" s="54"/>
      <c r="BYI32" s="36"/>
      <c r="BYJ32" s="55"/>
      <c r="BYK32" s="54"/>
      <c r="BYL32" s="56"/>
      <c r="BYM32" s="57"/>
      <c r="BYN32" s="54"/>
      <c r="BYO32" s="54"/>
      <c r="BYP32" s="54"/>
      <c r="BYQ32" s="58"/>
      <c r="BYR32" s="58"/>
      <c r="BYS32" s="58"/>
      <c r="BYT32" s="58"/>
      <c r="BYU32" s="59"/>
      <c r="BYV32" s="60"/>
      <c r="BYW32" s="54"/>
      <c r="BYX32" s="54"/>
      <c r="BYY32" s="36"/>
      <c r="BYZ32" s="55"/>
      <c r="BZA32" s="54"/>
      <c r="BZB32" s="56"/>
      <c r="BZC32" s="57"/>
      <c r="BZD32" s="54"/>
      <c r="BZE32" s="54"/>
      <c r="BZF32" s="54"/>
      <c r="BZG32" s="58"/>
      <c r="BZH32" s="58"/>
      <c r="BZI32" s="58"/>
      <c r="BZJ32" s="58"/>
      <c r="BZK32" s="59"/>
      <c r="BZL32" s="60"/>
      <c r="BZM32" s="54"/>
      <c r="BZN32" s="54"/>
      <c r="BZO32" s="36"/>
      <c r="BZP32" s="55"/>
      <c r="BZQ32" s="54"/>
      <c r="BZR32" s="56"/>
      <c r="BZS32" s="57"/>
      <c r="BZT32" s="54"/>
      <c r="BZU32" s="54"/>
      <c r="BZV32" s="54"/>
      <c r="BZW32" s="58"/>
      <c r="BZX32" s="58"/>
      <c r="BZY32" s="58"/>
      <c r="BZZ32" s="58"/>
      <c r="CAA32" s="59"/>
      <c r="CAB32" s="60"/>
      <c r="CAC32" s="54"/>
      <c r="CAD32" s="54"/>
      <c r="CAE32" s="36"/>
      <c r="CAF32" s="55"/>
      <c r="CAG32" s="54"/>
      <c r="CAH32" s="56"/>
      <c r="CAI32" s="57"/>
      <c r="CAJ32" s="54"/>
      <c r="CAK32" s="54"/>
      <c r="CAL32" s="54"/>
      <c r="CAM32" s="58"/>
      <c r="CAN32" s="58"/>
      <c r="CAO32" s="58"/>
      <c r="CAP32" s="58"/>
      <c r="CAQ32" s="59"/>
      <c r="CAR32" s="60"/>
      <c r="CAS32" s="54"/>
      <c r="CAT32" s="54"/>
      <c r="CAU32" s="36"/>
      <c r="CAV32" s="55"/>
      <c r="CAW32" s="54"/>
      <c r="CAX32" s="56"/>
      <c r="CAY32" s="57"/>
      <c r="CAZ32" s="54"/>
      <c r="CBA32" s="54"/>
      <c r="CBB32" s="54"/>
      <c r="CBC32" s="58"/>
      <c r="CBD32" s="58"/>
      <c r="CBE32" s="58"/>
      <c r="CBF32" s="58"/>
      <c r="CBG32" s="59"/>
      <c r="CBH32" s="60"/>
      <c r="CBI32" s="54"/>
      <c r="CBJ32" s="54"/>
      <c r="CBK32" s="36"/>
      <c r="CBL32" s="55"/>
      <c r="CBM32" s="54"/>
      <c r="CBN32" s="56"/>
      <c r="CBO32" s="57"/>
      <c r="CBP32" s="54"/>
      <c r="CBQ32" s="54"/>
      <c r="CBR32" s="54"/>
      <c r="CBS32" s="58"/>
      <c r="CBT32" s="58"/>
      <c r="CBU32" s="58"/>
      <c r="CBV32" s="58"/>
      <c r="CBW32" s="59"/>
      <c r="CBX32" s="60"/>
      <c r="CBY32" s="54"/>
      <c r="CBZ32" s="54"/>
      <c r="CCA32" s="36"/>
      <c r="CCB32" s="55"/>
      <c r="CCC32" s="54"/>
      <c r="CCD32" s="56"/>
      <c r="CCE32" s="57"/>
      <c r="CCF32" s="54"/>
      <c r="CCG32" s="54"/>
      <c r="CCH32" s="54"/>
      <c r="CCI32" s="58"/>
      <c r="CCJ32" s="58"/>
      <c r="CCK32" s="58"/>
      <c r="CCL32" s="58"/>
      <c r="CCM32" s="59"/>
      <c r="CCN32" s="60"/>
      <c r="CCO32" s="54"/>
      <c r="CCP32" s="54"/>
      <c r="CCQ32" s="36"/>
      <c r="CCR32" s="55"/>
      <c r="CCS32" s="54"/>
      <c r="CCT32" s="56"/>
      <c r="CCU32" s="57"/>
      <c r="CCV32" s="54"/>
      <c r="CCW32" s="54"/>
      <c r="CCX32" s="54"/>
      <c r="CCY32" s="58"/>
      <c r="CCZ32" s="58"/>
      <c r="CDA32" s="58"/>
      <c r="CDB32" s="58"/>
      <c r="CDC32" s="59"/>
      <c r="CDD32" s="60"/>
      <c r="CDE32" s="54"/>
      <c r="CDF32" s="54"/>
      <c r="CDG32" s="36"/>
      <c r="CDH32" s="55"/>
      <c r="CDI32" s="54"/>
      <c r="CDJ32" s="56"/>
      <c r="CDK32" s="57"/>
      <c r="CDL32" s="54"/>
      <c r="CDM32" s="54"/>
      <c r="CDN32" s="54"/>
      <c r="CDO32" s="58"/>
      <c r="CDP32" s="58"/>
      <c r="CDQ32" s="58"/>
      <c r="CDR32" s="58"/>
      <c r="CDS32" s="59"/>
      <c r="CDT32" s="60"/>
      <c r="CDU32" s="54"/>
      <c r="CDV32" s="54"/>
      <c r="CDW32" s="36"/>
      <c r="CDX32" s="55"/>
      <c r="CDY32" s="54"/>
      <c r="CDZ32" s="56"/>
      <c r="CEA32" s="57"/>
      <c r="CEB32" s="54"/>
      <c r="CEC32" s="54"/>
      <c r="CED32" s="54"/>
      <c r="CEE32" s="58"/>
      <c r="CEF32" s="58"/>
      <c r="CEG32" s="58"/>
      <c r="CEH32" s="58"/>
      <c r="CEI32" s="59"/>
      <c r="CEJ32" s="60"/>
      <c r="CEK32" s="54"/>
      <c r="CEL32" s="54"/>
      <c r="CEM32" s="36"/>
      <c r="CEN32" s="55"/>
      <c r="CEO32" s="54"/>
      <c r="CEP32" s="56"/>
      <c r="CEQ32" s="57"/>
      <c r="CER32" s="54"/>
      <c r="CES32" s="54"/>
      <c r="CET32" s="54"/>
      <c r="CEU32" s="58"/>
      <c r="CEV32" s="58"/>
      <c r="CEW32" s="58"/>
      <c r="CEX32" s="58"/>
      <c r="CEY32" s="59"/>
      <c r="CEZ32" s="60"/>
      <c r="CFA32" s="54"/>
      <c r="CFB32" s="54"/>
      <c r="CFC32" s="36"/>
      <c r="CFD32" s="55"/>
      <c r="CFE32" s="54"/>
      <c r="CFF32" s="56"/>
      <c r="CFG32" s="57"/>
      <c r="CFH32" s="54"/>
      <c r="CFI32" s="54"/>
      <c r="CFJ32" s="54"/>
      <c r="CFK32" s="58"/>
      <c r="CFL32" s="58"/>
      <c r="CFM32" s="58"/>
      <c r="CFN32" s="58"/>
      <c r="CFO32" s="59"/>
      <c r="CFP32" s="60"/>
      <c r="CFQ32" s="54"/>
      <c r="CFR32" s="54"/>
      <c r="CFS32" s="36"/>
      <c r="CFT32" s="55"/>
      <c r="CFU32" s="54"/>
      <c r="CFV32" s="56"/>
      <c r="CFW32" s="57"/>
      <c r="CFX32" s="54"/>
      <c r="CFY32" s="54"/>
      <c r="CFZ32" s="54"/>
      <c r="CGA32" s="58"/>
      <c r="CGB32" s="58"/>
      <c r="CGC32" s="58"/>
      <c r="CGD32" s="58"/>
      <c r="CGE32" s="59"/>
      <c r="CGF32" s="60"/>
      <c r="CGG32" s="54"/>
      <c r="CGH32" s="54"/>
      <c r="CGI32" s="36"/>
      <c r="CGJ32" s="55"/>
      <c r="CGK32" s="54"/>
      <c r="CGL32" s="56"/>
      <c r="CGM32" s="57"/>
      <c r="CGN32" s="54"/>
      <c r="CGO32" s="54"/>
      <c r="CGP32" s="54"/>
      <c r="CGQ32" s="58"/>
      <c r="CGR32" s="58"/>
      <c r="CGS32" s="58"/>
      <c r="CGT32" s="58"/>
      <c r="CGU32" s="59"/>
      <c r="CGV32" s="60"/>
      <c r="CGW32" s="54"/>
      <c r="CGX32" s="54"/>
      <c r="CGY32" s="36"/>
      <c r="CGZ32" s="55"/>
      <c r="CHA32" s="54"/>
      <c r="CHB32" s="56"/>
      <c r="CHC32" s="57"/>
      <c r="CHD32" s="54"/>
      <c r="CHE32" s="54"/>
      <c r="CHF32" s="54"/>
      <c r="CHG32" s="58"/>
      <c r="CHH32" s="58"/>
      <c r="CHI32" s="58"/>
      <c r="CHJ32" s="58"/>
      <c r="CHK32" s="59"/>
      <c r="CHL32" s="60"/>
      <c r="CHM32" s="54"/>
      <c r="CHN32" s="54"/>
      <c r="CHO32" s="36"/>
      <c r="CHP32" s="55"/>
      <c r="CHQ32" s="54"/>
      <c r="CHR32" s="56"/>
      <c r="CHS32" s="57"/>
      <c r="CHT32" s="54"/>
      <c r="CHU32" s="54"/>
      <c r="CHV32" s="54"/>
      <c r="CHW32" s="58"/>
      <c r="CHX32" s="58"/>
      <c r="CHY32" s="58"/>
      <c r="CHZ32" s="58"/>
      <c r="CIA32" s="59"/>
      <c r="CIB32" s="60"/>
      <c r="CIC32" s="54"/>
      <c r="CID32" s="54"/>
      <c r="CIE32" s="36"/>
      <c r="CIF32" s="55"/>
      <c r="CIG32" s="54"/>
      <c r="CIH32" s="56"/>
      <c r="CII32" s="57"/>
      <c r="CIJ32" s="54"/>
      <c r="CIK32" s="54"/>
      <c r="CIL32" s="54"/>
      <c r="CIM32" s="58"/>
      <c r="CIN32" s="58"/>
      <c r="CIO32" s="58"/>
      <c r="CIP32" s="58"/>
      <c r="CIQ32" s="59"/>
      <c r="CIR32" s="60"/>
      <c r="CIS32" s="54"/>
      <c r="CIT32" s="54"/>
      <c r="CIU32" s="36"/>
      <c r="CIV32" s="55"/>
      <c r="CIW32" s="54"/>
      <c r="CIX32" s="56"/>
      <c r="CIY32" s="57"/>
      <c r="CIZ32" s="54"/>
      <c r="CJA32" s="54"/>
      <c r="CJB32" s="54"/>
      <c r="CJC32" s="58"/>
      <c r="CJD32" s="58"/>
      <c r="CJE32" s="58"/>
      <c r="CJF32" s="58"/>
      <c r="CJG32" s="59"/>
      <c r="CJH32" s="60"/>
      <c r="CJI32" s="54"/>
      <c r="CJJ32" s="54"/>
      <c r="CJK32" s="36"/>
      <c r="CJL32" s="55"/>
      <c r="CJM32" s="54"/>
      <c r="CJN32" s="56"/>
      <c r="CJO32" s="57"/>
      <c r="CJP32" s="54"/>
      <c r="CJQ32" s="54"/>
      <c r="CJR32" s="54"/>
      <c r="CJS32" s="58"/>
      <c r="CJT32" s="58"/>
      <c r="CJU32" s="58"/>
      <c r="CJV32" s="58"/>
      <c r="CJW32" s="59"/>
      <c r="CJX32" s="60"/>
      <c r="CJY32" s="54"/>
      <c r="CJZ32" s="54"/>
      <c r="CKA32" s="36"/>
      <c r="CKB32" s="55"/>
      <c r="CKC32" s="54"/>
      <c r="CKD32" s="56"/>
      <c r="CKE32" s="57"/>
      <c r="CKF32" s="54"/>
      <c r="CKG32" s="54"/>
      <c r="CKH32" s="54"/>
      <c r="CKI32" s="58"/>
      <c r="CKJ32" s="58"/>
      <c r="CKK32" s="58"/>
      <c r="CKL32" s="58"/>
      <c r="CKM32" s="59"/>
      <c r="CKN32" s="60"/>
      <c r="CKO32" s="54"/>
      <c r="CKP32" s="54"/>
      <c r="CKQ32" s="36"/>
      <c r="CKR32" s="55"/>
      <c r="CKS32" s="54"/>
      <c r="CKT32" s="56"/>
      <c r="CKU32" s="57"/>
      <c r="CKV32" s="54"/>
      <c r="CKW32" s="54"/>
      <c r="CKX32" s="54"/>
      <c r="CKY32" s="58"/>
      <c r="CKZ32" s="58"/>
      <c r="CLA32" s="58"/>
      <c r="CLB32" s="58"/>
      <c r="CLC32" s="59"/>
      <c r="CLD32" s="60"/>
      <c r="CLE32" s="54"/>
      <c r="CLF32" s="54"/>
      <c r="CLG32" s="36"/>
      <c r="CLH32" s="55"/>
      <c r="CLI32" s="54"/>
      <c r="CLJ32" s="56"/>
      <c r="CLK32" s="57"/>
      <c r="CLL32" s="54"/>
      <c r="CLM32" s="54"/>
      <c r="CLN32" s="54"/>
      <c r="CLO32" s="58"/>
      <c r="CLP32" s="58"/>
      <c r="CLQ32" s="58"/>
      <c r="CLR32" s="58"/>
      <c r="CLS32" s="59"/>
      <c r="CLT32" s="60"/>
      <c r="CLU32" s="54"/>
      <c r="CLV32" s="54"/>
      <c r="CLW32" s="36"/>
      <c r="CLX32" s="55"/>
      <c r="CLY32" s="54"/>
      <c r="CLZ32" s="56"/>
      <c r="CMA32" s="57"/>
      <c r="CMB32" s="54"/>
      <c r="CMC32" s="54"/>
      <c r="CMD32" s="54"/>
      <c r="CME32" s="58"/>
      <c r="CMF32" s="58"/>
      <c r="CMG32" s="58"/>
      <c r="CMH32" s="58"/>
      <c r="CMI32" s="59"/>
      <c r="CMJ32" s="60"/>
      <c r="CMK32" s="54"/>
      <c r="CML32" s="54"/>
      <c r="CMM32" s="36"/>
      <c r="CMN32" s="55"/>
      <c r="CMO32" s="54"/>
      <c r="CMP32" s="56"/>
      <c r="CMQ32" s="57"/>
      <c r="CMR32" s="54"/>
      <c r="CMS32" s="54"/>
      <c r="CMT32" s="54"/>
      <c r="CMU32" s="58"/>
      <c r="CMV32" s="58"/>
      <c r="CMW32" s="58"/>
      <c r="CMX32" s="58"/>
      <c r="CMY32" s="59"/>
      <c r="CMZ32" s="60"/>
      <c r="CNA32" s="54"/>
      <c r="CNB32" s="54"/>
      <c r="CNC32" s="36"/>
      <c r="CND32" s="55"/>
      <c r="CNE32" s="54"/>
      <c r="CNF32" s="56"/>
      <c r="CNG32" s="57"/>
      <c r="CNH32" s="54"/>
      <c r="CNI32" s="54"/>
      <c r="CNJ32" s="54"/>
      <c r="CNK32" s="58"/>
      <c r="CNL32" s="58"/>
      <c r="CNM32" s="58"/>
      <c r="CNN32" s="58"/>
      <c r="CNO32" s="59"/>
      <c r="CNP32" s="60"/>
      <c r="CNQ32" s="54"/>
      <c r="CNR32" s="54"/>
      <c r="CNS32" s="36"/>
      <c r="CNT32" s="55"/>
      <c r="CNU32" s="54"/>
      <c r="CNV32" s="56"/>
      <c r="CNW32" s="57"/>
      <c r="CNX32" s="54"/>
      <c r="CNY32" s="54"/>
      <c r="CNZ32" s="54"/>
      <c r="COA32" s="58"/>
      <c r="COB32" s="58"/>
      <c r="COC32" s="58"/>
      <c r="COD32" s="58"/>
      <c r="COE32" s="59"/>
      <c r="COF32" s="60"/>
      <c r="COG32" s="54"/>
      <c r="COH32" s="54"/>
      <c r="COI32" s="36"/>
      <c r="COJ32" s="55"/>
      <c r="COK32" s="54"/>
      <c r="COL32" s="56"/>
      <c r="COM32" s="57"/>
      <c r="CON32" s="54"/>
      <c r="COO32" s="54"/>
      <c r="COP32" s="54"/>
      <c r="COQ32" s="58"/>
      <c r="COR32" s="58"/>
      <c r="COS32" s="58"/>
      <c r="COT32" s="58"/>
      <c r="COU32" s="59"/>
      <c r="COV32" s="60"/>
      <c r="COW32" s="54"/>
      <c r="COX32" s="54"/>
      <c r="COY32" s="36"/>
      <c r="COZ32" s="55"/>
      <c r="CPA32" s="54"/>
      <c r="CPB32" s="56"/>
      <c r="CPC32" s="57"/>
      <c r="CPD32" s="54"/>
      <c r="CPE32" s="54"/>
      <c r="CPF32" s="54"/>
      <c r="CPG32" s="58"/>
      <c r="CPH32" s="58"/>
      <c r="CPI32" s="58"/>
      <c r="CPJ32" s="58"/>
      <c r="CPK32" s="59"/>
      <c r="CPL32" s="60"/>
      <c r="CPM32" s="54"/>
      <c r="CPN32" s="54"/>
      <c r="CPO32" s="36"/>
      <c r="CPP32" s="55"/>
      <c r="CPQ32" s="54"/>
      <c r="CPR32" s="56"/>
      <c r="CPS32" s="57"/>
      <c r="CPT32" s="54"/>
      <c r="CPU32" s="54"/>
      <c r="CPV32" s="54"/>
      <c r="CPW32" s="58"/>
      <c r="CPX32" s="58"/>
      <c r="CPY32" s="58"/>
      <c r="CPZ32" s="58"/>
      <c r="CQA32" s="59"/>
      <c r="CQB32" s="60"/>
      <c r="CQC32" s="54"/>
      <c r="CQD32" s="54"/>
      <c r="CQE32" s="36"/>
      <c r="CQF32" s="55"/>
      <c r="CQG32" s="54"/>
      <c r="CQH32" s="56"/>
      <c r="CQI32" s="57"/>
      <c r="CQJ32" s="54"/>
      <c r="CQK32" s="54"/>
      <c r="CQL32" s="54"/>
      <c r="CQM32" s="58"/>
      <c r="CQN32" s="58"/>
      <c r="CQO32" s="58"/>
      <c r="CQP32" s="58"/>
      <c r="CQQ32" s="59"/>
      <c r="CQR32" s="60"/>
      <c r="CQS32" s="54"/>
      <c r="CQT32" s="54"/>
      <c r="CQU32" s="36"/>
      <c r="CQV32" s="55"/>
      <c r="CQW32" s="54"/>
      <c r="CQX32" s="56"/>
      <c r="CQY32" s="57"/>
      <c r="CQZ32" s="54"/>
      <c r="CRA32" s="54"/>
      <c r="CRB32" s="54"/>
      <c r="CRC32" s="58"/>
      <c r="CRD32" s="58"/>
      <c r="CRE32" s="58"/>
      <c r="CRF32" s="58"/>
      <c r="CRG32" s="59"/>
      <c r="CRH32" s="60"/>
      <c r="CRI32" s="54"/>
      <c r="CRJ32" s="54"/>
      <c r="CRK32" s="36"/>
      <c r="CRL32" s="55"/>
      <c r="CRM32" s="54"/>
      <c r="CRN32" s="56"/>
      <c r="CRO32" s="57"/>
      <c r="CRP32" s="54"/>
      <c r="CRQ32" s="54"/>
      <c r="CRR32" s="54"/>
      <c r="CRS32" s="58"/>
      <c r="CRT32" s="58"/>
      <c r="CRU32" s="58"/>
      <c r="CRV32" s="58"/>
      <c r="CRW32" s="59"/>
      <c r="CRX32" s="60"/>
      <c r="CRY32" s="54"/>
      <c r="CRZ32" s="54"/>
      <c r="CSA32" s="36"/>
      <c r="CSB32" s="55"/>
      <c r="CSC32" s="54"/>
      <c r="CSD32" s="56"/>
      <c r="CSE32" s="57"/>
      <c r="CSF32" s="54"/>
      <c r="CSG32" s="54"/>
      <c r="CSH32" s="54"/>
      <c r="CSI32" s="58"/>
      <c r="CSJ32" s="58"/>
      <c r="CSK32" s="58"/>
      <c r="CSL32" s="58"/>
      <c r="CSM32" s="59"/>
      <c r="CSN32" s="60"/>
      <c r="CSO32" s="54"/>
      <c r="CSP32" s="54"/>
      <c r="CSQ32" s="36"/>
      <c r="CSR32" s="55"/>
      <c r="CSS32" s="54"/>
      <c r="CST32" s="56"/>
      <c r="CSU32" s="57"/>
      <c r="CSV32" s="54"/>
      <c r="CSW32" s="54"/>
      <c r="CSX32" s="54"/>
      <c r="CSY32" s="58"/>
      <c r="CSZ32" s="58"/>
      <c r="CTA32" s="58"/>
      <c r="CTB32" s="58"/>
      <c r="CTC32" s="59"/>
      <c r="CTD32" s="60"/>
      <c r="CTE32" s="54"/>
      <c r="CTF32" s="54"/>
      <c r="CTG32" s="36"/>
      <c r="CTH32" s="55"/>
      <c r="CTI32" s="54"/>
      <c r="CTJ32" s="56"/>
      <c r="CTK32" s="57"/>
      <c r="CTL32" s="54"/>
      <c r="CTM32" s="54"/>
      <c r="CTN32" s="54"/>
      <c r="CTO32" s="58"/>
      <c r="CTP32" s="58"/>
      <c r="CTQ32" s="58"/>
      <c r="CTR32" s="58"/>
      <c r="CTS32" s="59"/>
      <c r="CTT32" s="60"/>
      <c r="CTU32" s="54"/>
      <c r="CTV32" s="54"/>
      <c r="CTW32" s="36"/>
      <c r="CTX32" s="55"/>
      <c r="CTY32" s="54"/>
      <c r="CTZ32" s="56"/>
      <c r="CUA32" s="57"/>
      <c r="CUB32" s="54"/>
      <c r="CUC32" s="54"/>
      <c r="CUD32" s="54"/>
      <c r="CUE32" s="58"/>
      <c r="CUF32" s="58"/>
      <c r="CUG32" s="58"/>
      <c r="CUH32" s="58"/>
      <c r="CUI32" s="59"/>
      <c r="CUJ32" s="60"/>
      <c r="CUK32" s="54"/>
      <c r="CUL32" s="54"/>
      <c r="CUM32" s="36"/>
      <c r="CUN32" s="55"/>
      <c r="CUO32" s="54"/>
      <c r="CUP32" s="56"/>
      <c r="CUQ32" s="57"/>
      <c r="CUR32" s="54"/>
      <c r="CUS32" s="54"/>
      <c r="CUT32" s="54"/>
      <c r="CUU32" s="58"/>
      <c r="CUV32" s="58"/>
      <c r="CUW32" s="58"/>
      <c r="CUX32" s="58"/>
      <c r="CUY32" s="59"/>
      <c r="CUZ32" s="60"/>
      <c r="CVA32" s="54"/>
      <c r="CVB32" s="54"/>
      <c r="CVC32" s="36"/>
      <c r="CVD32" s="55"/>
      <c r="CVE32" s="54"/>
      <c r="CVF32" s="56"/>
      <c r="CVG32" s="57"/>
      <c r="CVH32" s="54"/>
      <c r="CVI32" s="54"/>
      <c r="CVJ32" s="54"/>
      <c r="CVK32" s="58"/>
      <c r="CVL32" s="58"/>
      <c r="CVM32" s="58"/>
      <c r="CVN32" s="58"/>
      <c r="CVO32" s="59"/>
      <c r="CVP32" s="60"/>
      <c r="CVQ32" s="54"/>
      <c r="CVR32" s="54"/>
      <c r="CVS32" s="36"/>
      <c r="CVT32" s="55"/>
      <c r="CVU32" s="54"/>
      <c r="CVV32" s="56"/>
      <c r="CVW32" s="57"/>
      <c r="CVX32" s="54"/>
      <c r="CVY32" s="54"/>
      <c r="CVZ32" s="54"/>
      <c r="CWA32" s="58"/>
      <c r="CWB32" s="58"/>
      <c r="CWC32" s="58"/>
      <c r="CWD32" s="58"/>
      <c r="CWE32" s="59"/>
      <c r="CWF32" s="60"/>
      <c r="CWG32" s="54"/>
      <c r="CWH32" s="54"/>
      <c r="CWI32" s="36"/>
      <c r="CWJ32" s="55"/>
      <c r="CWK32" s="54"/>
      <c r="CWL32" s="56"/>
      <c r="CWM32" s="57"/>
      <c r="CWN32" s="54"/>
      <c r="CWO32" s="54"/>
      <c r="CWP32" s="54"/>
      <c r="CWQ32" s="58"/>
      <c r="CWR32" s="58"/>
      <c r="CWS32" s="58"/>
      <c r="CWT32" s="58"/>
      <c r="CWU32" s="59"/>
      <c r="CWV32" s="60"/>
      <c r="CWW32" s="54"/>
      <c r="CWX32" s="54"/>
      <c r="CWY32" s="36"/>
      <c r="CWZ32" s="55"/>
      <c r="CXA32" s="54"/>
      <c r="CXB32" s="56"/>
      <c r="CXC32" s="57"/>
      <c r="CXD32" s="54"/>
      <c r="CXE32" s="54"/>
      <c r="CXF32" s="54"/>
      <c r="CXG32" s="58"/>
      <c r="CXH32" s="58"/>
      <c r="CXI32" s="58"/>
      <c r="CXJ32" s="58"/>
      <c r="CXK32" s="59"/>
      <c r="CXL32" s="60"/>
      <c r="CXM32" s="54"/>
      <c r="CXN32" s="54"/>
      <c r="CXO32" s="36"/>
      <c r="CXP32" s="55"/>
      <c r="CXQ32" s="54"/>
      <c r="CXR32" s="56"/>
      <c r="CXS32" s="57"/>
      <c r="CXT32" s="54"/>
      <c r="CXU32" s="54"/>
      <c r="CXV32" s="54"/>
      <c r="CXW32" s="58"/>
      <c r="CXX32" s="58"/>
      <c r="CXY32" s="58"/>
      <c r="CXZ32" s="58"/>
      <c r="CYA32" s="59"/>
      <c r="CYB32" s="60"/>
      <c r="CYC32" s="54"/>
      <c r="CYD32" s="54"/>
      <c r="CYE32" s="36"/>
      <c r="CYF32" s="55"/>
      <c r="CYG32" s="54"/>
      <c r="CYH32" s="56"/>
      <c r="CYI32" s="57"/>
      <c r="CYJ32" s="54"/>
      <c r="CYK32" s="54"/>
      <c r="CYL32" s="54"/>
      <c r="CYM32" s="58"/>
      <c r="CYN32" s="58"/>
      <c r="CYO32" s="58"/>
      <c r="CYP32" s="58"/>
      <c r="CYQ32" s="59"/>
      <c r="CYR32" s="60"/>
      <c r="CYS32" s="54"/>
      <c r="CYT32" s="54"/>
      <c r="CYU32" s="36"/>
      <c r="CYV32" s="55"/>
      <c r="CYW32" s="54"/>
      <c r="CYX32" s="56"/>
      <c r="CYY32" s="57"/>
      <c r="CYZ32" s="54"/>
      <c r="CZA32" s="54"/>
      <c r="CZB32" s="54"/>
      <c r="CZC32" s="58"/>
      <c r="CZD32" s="58"/>
      <c r="CZE32" s="58"/>
      <c r="CZF32" s="58"/>
      <c r="CZG32" s="59"/>
      <c r="CZH32" s="60"/>
      <c r="CZI32" s="54"/>
      <c r="CZJ32" s="54"/>
      <c r="CZK32" s="36"/>
      <c r="CZL32" s="55"/>
      <c r="CZM32" s="54"/>
      <c r="CZN32" s="56"/>
      <c r="CZO32" s="57"/>
      <c r="CZP32" s="54"/>
      <c r="CZQ32" s="54"/>
      <c r="CZR32" s="54"/>
      <c r="CZS32" s="58"/>
      <c r="CZT32" s="58"/>
      <c r="CZU32" s="58"/>
      <c r="CZV32" s="58"/>
      <c r="CZW32" s="59"/>
      <c r="CZX32" s="60"/>
      <c r="CZY32" s="54"/>
      <c r="CZZ32" s="54"/>
      <c r="DAA32" s="36"/>
      <c r="DAB32" s="55"/>
      <c r="DAC32" s="54"/>
      <c r="DAD32" s="56"/>
      <c r="DAE32" s="57"/>
      <c r="DAF32" s="54"/>
      <c r="DAG32" s="54"/>
      <c r="DAH32" s="54"/>
      <c r="DAI32" s="58"/>
      <c r="DAJ32" s="58"/>
      <c r="DAK32" s="58"/>
      <c r="DAL32" s="58"/>
      <c r="DAM32" s="59"/>
      <c r="DAN32" s="60"/>
      <c r="DAO32" s="54"/>
      <c r="DAP32" s="54"/>
      <c r="DAQ32" s="36"/>
      <c r="DAR32" s="55"/>
      <c r="DAS32" s="54"/>
      <c r="DAT32" s="56"/>
      <c r="DAU32" s="57"/>
      <c r="DAV32" s="54"/>
      <c r="DAW32" s="54"/>
      <c r="DAX32" s="54"/>
      <c r="DAY32" s="58"/>
      <c r="DAZ32" s="58"/>
      <c r="DBA32" s="58"/>
      <c r="DBB32" s="58"/>
      <c r="DBC32" s="59"/>
      <c r="DBD32" s="60"/>
      <c r="DBE32" s="54"/>
      <c r="DBF32" s="54"/>
      <c r="DBG32" s="36"/>
      <c r="DBH32" s="55"/>
      <c r="DBI32" s="54"/>
      <c r="DBJ32" s="56"/>
      <c r="DBK32" s="57"/>
      <c r="DBL32" s="54"/>
      <c r="DBM32" s="54"/>
      <c r="DBN32" s="54"/>
      <c r="DBO32" s="58"/>
      <c r="DBP32" s="58"/>
      <c r="DBQ32" s="58"/>
      <c r="DBR32" s="58"/>
      <c r="DBS32" s="59"/>
      <c r="DBT32" s="60"/>
      <c r="DBU32" s="54"/>
      <c r="DBV32" s="54"/>
      <c r="DBW32" s="36"/>
      <c r="DBX32" s="55"/>
      <c r="DBY32" s="54"/>
      <c r="DBZ32" s="56"/>
      <c r="DCA32" s="57"/>
      <c r="DCB32" s="54"/>
      <c r="DCC32" s="54"/>
      <c r="DCD32" s="54"/>
      <c r="DCE32" s="58"/>
      <c r="DCF32" s="58"/>
      <c r="DCG32" s="58"/>
      <c r="DCH32" s="58"/>
      <c r="DCI32" s="59"/>
      <c r="DCJ32" s="60"/>
      <c r="DCK32" s="54"/>
      <c r="DCL32" s="54"/>
      <c r="DCM32" s="36"/>
      <c r="DCN32" s="55"/>
      <c r="DCO32" s="54"/>
      <c r="DCP32" s="56"/>
      <c r="DCQ32" s="57"/>
      <c r="DCR32" s="54"/>
      <c r="DCS32" s="54"/>
      <c r="DCT32" s="54"/>
      <c r="DCU32" s="58"/>
      <c r="DCV32" s="58"/>
      <c r="DCW32" s="58"/>
      <c r="DCX32" s="58"/>
      <c r="DCY32" s="59"/>
      <c r="DCZ32" s="60"/>
      <c r="DDA32" s="54"/>
      <c r="DDB32" s="54"/>
      <c r="DDC32" s="36"/>
      <c r="DDD32" s="55"/>
      <c r="DDE32" s="54"/>
      <c r="DDF32" s="56"/>
      <c r="DDG32" s="57"/>
      <c r="DDH32" s="54"/>
      <c r="DDI32" s="54"/>
      <c r="DDJ32" s="54"/>
      <c r="DDK32" s="58"/>
      <c r="DDL32" s="58"/>
      <c r="DDM32" s="58"/>
      <c r="DDN32" s="58"/>
      <c r="DDO32" s="59"/>
      <c r="DDP32" s="60"/>
      <c r="DDQ32" s="54"/>
      <c r="DDR32" s="54"/>
      <c r="DDS32" s="36"/>
      <c r="DDT32" s="55"/>
      <c r="DDU32" s="54"/>
      <c r="DDV32" s="56"/>
      <c r="DDW32" s="57"/>
      <c r="DDX32" s="54"/>
      <c r="DDY32" s="54"/>
      <c r="DDZ32" s="54"/>
      <c r="DEA32" s="58"/>
      <c r="DEB32" s="58"/>
      <c r="DEC32" s="58"/>
      <c r="DED32" s="58"/>
      <c r="DEE32" s="59"/>
      <c r="DEF32" s="60"/>
      <c r="DEG32" s="54"/>
      <c r="DEH32" s="54"/>
      <c r="DEI32" s="36"/>
      <c r="DEJ32" s="55"/>
      <c r="DEK32" s="54"/>
      <c r="DEL32" s="56"/>
      <c r="DEM32" s="57"/>
      <c r="DEN32" s="54"/>
      <c r="DEO32" s="54"/>
      <c r="DEP32" s="54"/>
      <c r="DEQ32" s="58"/>
      <c r="DER32" s="58"/>
      <c r="DES32" s="58"/>
      <c r="DET32" s="58"/>
      <c r="DEU32" s="59"/>
      <c r="DEV32" s="60"/>
      <c r="DEW32" s="54"/>
      <c r="DEX32" s="54"/>
      <c r="DEY32" s="36"/>
      <c r="DEZ32" s="55"/>
      <c r="DFA32" s="54"/>
      <c r="DFB32" s="56"/>
      <c r="DFC32" s="57"/>
      <c r="DFD32" s="54"/>
      <c r="DFE32" s="54"/>
      <c r="DFF32" s="54"/>
      <c r="DFG32" s="58"/>
      <c r="DFH32" s="58"/>
      <c r="DFI32" s="58"/>
      <c r="DFJ32" s="58"/>
      <c r="DFK32" s="59"/>
      <c r="DFL32" s="60"/>
      <c r="DFM32" s="54"/>
      <c r="DFN32" s="54"/>
      <c r="DFO32" s="36"/>
      <c r="DFP32" s="55"/>
      <c r="DFQ32" s="54"/>
      <c r="DFR32" s="56"/>
      <c r="DFS32" s="57"/>
      <c r="DFT32" s="54"/>
      <c r="DFU32" s="54"/>
      <c r="DFV32" s="54"/>
      <c r="DFW32" s="58"/>
      <c r="DFX32" s="58"/>
      <c r="DFY32" s="58"/>
      <c r="DFZ32" s="58"/>
      <c r="DGA32" s="59"/>
      <c r="DGB32" s="60"/>
      <c r="DGC32" s="54"/>
      <c r="DGD32" s="54"/>
      <c r="DGE32" s="36"/>
      <c r="DGF32" s="55"/>
      <c r="DGG32" s="54"/>
      <c r="DGH32" s="56"/>
      <c r="DGI32" s="57"/>
      <c r="DGJ32" s="54"/>
      <c r="DGK32" s="54"/>
      <c r="DGL32" s="54"/>
      <c r="DGM32" s="58"/>
      <c r="DGN32" s="58"/>
      <c r="DGO32" s="58"/>
      <c r="DGP32" s="58"/>
      <c r="DGQ32" s="59"/>
      <c r="DGR32" s="60"/>
      <c r="DGS32" s="54"/>
      <c r="DGT32" s="54"/>
      <c r="DGU32" s="36"/>
      <c r="DGV32" s="55"/>
      <c r="DGW32" s="54"/>
      <c r="DGX32" s="56"/>
      <c r="DGY32" s="57"/>
      <c r="DGZ32" s="54"/>
      <c r="DHA32" s="54"/>
      <c r="DHB32" s="54"/>
      <c r="DHC32" s="58"/>
      <c r="DHD32" s="58"/>
      <c r="DHE32" s="58"/>
      <c r="DHF32" s="58"/>
      <c r="DHG32" s="59"/>
      <c r="DHH32" s="60"/>
      <c r="DHI32" s="54"/>
      <c r="DHJ32" s="54"/>
      <c r="DHK32" s="36"/>
      <c r="DHL32" s="55"/>
      <c r="DHM32" s="54"/>
      <c r="DHN32" s="56"/>
      <c r="DHO32" s="57"/>
      <c r="DHP32" s="54"/>
      <c r="DHQ32" s="54"/>
      <c r="DHR32" s="54"/>
      <c r="DHS32" s="58"/>
      <c r="DHT32" s="58"/>
      <c r="DHU32" s="58"/>
      <c r="DHV32" s="58"/>
      <c r="DHW32" s="59"/>
      <c r="DHX32" s="60"/>
      <c r="DHY32" s="54"/>
      <c r="DHZ32" s="54"/>
      <c r="DIA32" s="36"/>
      <c r="DIB32" s="55"/>
      <c r="DIC32" s="54"/>
      <c r="DID32" s="56"/>
      <c r="DIE32" s="57"/>
      <c r="DIF32" s="54"/>
      <c r="DIG32" s="54"/>
      <c r="DIH32" s="54"/>
      <c r="DII32" s="58"/>
      <c r="DIJ32" s="58"/>
      <c r="DIK32" s="58"/>
      <c r="DIL32" s="58"/>
      <c r="DIM32" s="59"/>
      <c r="DIN32" s="60"/>
      <c r="DIO32" s="54"/>
      <c r="DIP32" s="54"/>
      <c r="DIQ32" s="36"/>
      <c r="DIR32" s="55"/>
      <c r="DIS32" s="54"/>
      <c r="DIT32" s="56"/>
      <c r="DIU32" s="57"/>
      <c r="DIV32" s="54"/>
      <c r="DIW32" s="54"/>
      <c r="DIX32" s="54"/>
      <c r="DIY32" s="58"/>
      <c r="DIZ32" s="58"/>
      <c r="DJA32" s="58"/>
      <c r="DJB32" s="58"/>
      <c r="DJC32" s="59"/>
      <c r="DJD32" s="60"/>
      <c r="DJE32" s="54"/>
      <c r="DJF32" s="54"/>
      <c r="DJG32" s="36"/>
      <c r="DJH32" s="55"/>
      <c r="DJI32" s="54"/>
      <c r="DJJ32" s="56"/>
      <c r="DJK32" s="57"/>
      <c r="DJL32" s="54"/>
      <c r="DJM32" s="54"/>
      <c r="DJN32" s="54"/>
      <c r="DJO32" s="58"/>
      <c r="DJP32" s="58"/>
      <c r="DJQ32" s="58"/>
      <c r="DJR32" s="58"/>
      <c r="DJS32" s="59"/>
      <c r="DJT32" s="60"/>
      <c r="DJU32" s="54"/>
      <c r="DJV32" s="54"/>
      <c r="DJW32" s="36"/>
      <c r="DJX32" s="55"/>
      <c r="DJY32" s="54"/>
      <c r="DJZ32" s="56"/>
      <c r="DKA32" s="57"/>
      <c r="DKB32" s="54"/>
      <c r="DKC32" s="54"/>
      <c r="DKD32" s="54"/>
      <c r="DKE32" s="58"/>
      <c r="DKF32" s="58"/>
      <c r="DKG32" s="58"/>
      <c r="DKH32" s="58"/>
      <c r="DKI32" s="59"/>
      <c r="DKJ32" s="60"/>
      <c r="DKK32" s="54"/>
      <c r="DKL32" s="54"/>
      <c r="DKM32" s="36"/>
      <c r="DKN32" s="55"/>
      <c r="DKO32" s="54"/>
      <c r="DKP32" s="56"/>
      <c r="DKQ32" s="57"/>
      <c r="DKR32" s="54"/>
      <c r="DKS32" s="54"/>
      <c r="DKT32" s="54"/>
      <c r="DKU32" s="58"/>
      <c r="DKV32" s="58"/>
      <c r="DKW32" s="58"/>
      <c r="DKX32" s="58"/>
      <c r="DKY32" s="59"/>
      <c r="DKZ32" s="60"/>
      <c r="DLA32" s="54"/>
      <c r="DLB32" s="54"/>
      <c r="DLC32" s="36"/>
      <c r="DLD32" s="55"/>
      <c r="DLE32" s="54"/>
      <c r="DLF32" s="56"/>
      <c r="DLG32" s="57"/>
      <c r="DLH32" s="54"/>
      <c r="DLI32" s="54"/>
      <c r="DLJ32" s="54"/>
      <c r="DLK32" s="58"/>
      <c r="DLL32" s="58"/>
      <c r="DLM32" s="58"/>
      <c r="DLN32" s="58"/>
      <c r="DLO32" s="59"/>
      <c r="DLP32" s="60"/>
      <c r="DLQ32" s="54"/>
      <c r="DLR32" s="54"/>
      <c r="DLS32" s="36"/>
      <c r="DLT32" s="55"/>
      <c r="DLU32" s="54"/>
      <c r="DLV32" s="56"/>
      <c r="DLW32" s="57"/>
      <c r="DLX32" s="54"/>
      <c r="DLY32" s="54"/>
      <c r="DLZ32" s="54"/>
      <c r="DMA32" s="58"/>
      <c r="DMB32" s="58"/>
      <c r="DMC32" s="58"/>
      <c r="DMD32" s="58"/>
      <c r="DME32" s="59"/>
      <c r="DMF32" s="60"/>
      <c r="DMG32" s="54"/>
      <c r="DMH32" s="54"/>
      <c r="DMI32" s="36"/>
      <c r="DMJ32" s="55"/>
      <c r="DMK32" s="54"/>
      <c r="DML32" s="56"/>
      <c r="DMM32" s="57"/>
      <c r="DMN32" s="54"/>
      <c r="DMO32" s="54"/>
      <c r="DMP32" s="54"/>
      <c r="DMQ32" s="58"/>
      <c r="DMR32" s="58"/>
      <c r="DMS32" s="58"/>
      <c r="DMT32" s="58"/>
      <c r="DMU32" s="59"/>
      <c r="DMV32" s="60"/>
      <c r="DMW32" s="54"/>
      <c r="DMX32" s="54"/>
      <c r="DMY32" s="36"/>
      <c r="DMZ32" s="55"/>
      <c r="DNA32" s="54"/>
      <c r="DNB32" s="56"/>
      <c r="DNC32" s="57"/>
      <c r="DND32" s="54"/>
      <c r="DNE32" s="54"/>
      <c r="DNF32" s="54"/>
      <c r="DNG32" s="58"/>
      <c r="DNH32" s="58"/>
      <c r="DNI32" s="58"/>
      <c r="DNJ32" s="58"/>
      <c r="DNK32" s="59"/>
      <c r="DNL32" s="60"/>
      <c r="DNM32" s="54"/>
      <c r="DNN32" s="54"/>
      <c r="DNO32" s="36"/>
      <c r="DNP32" s="55"/>
      <c r="DNQ32" s="54"/>
      <c r="DNR32" s="56"/>
      <c r="DNS32" s="57"/>
      <c r="DNT32" s="54"/>
      <c r="DNU32" s="54"/>
      <c r="DNV32" s="54"/>
      <c r="DNW32" s="58"/>
      <c r="DNX32" s="58"/>
      <c r="DNY32" s="58"/>
      <c r="DNZ32" s="58"/>
      <c r="DOA32" s="59"/>
      <c r="DOB32" s="60"/>
      <c r="DOC32" s="54"/>
      <c r="DOD32" s="54"/>
      <c r="DOE32" s="36"/>
      <c r="DOF32" s="55"/>
      <c r="DOG32" s="54"/>
      <c r="DOH32" s="56"/>
      <c r="DOI32" s="57"/>
      <c r="DOJ32" s="54"/>
      <c r="DOK32" s="54"/>
      <c r="DOL32" s="54"/>
      <c r="DOM32" s="58"/>
      <c r="DON32" s="58"/>
      <c r="DOO32" s="58"/>
      <c r="DOP32" s="58"/>
      <c r="DOQ32" s="59"/>
      <c r="DOR32" s="60"/>
      <c r="DOS32" s="54"/>
      <c r="DOT32" s="54"/>
      <c r="DOU32" s="36"/>
      <c r="DOV32" s="55"/>
      <c r="DOW32" s="54"/>
      <c r="DOX32" s="56"/>
      <c r="DOY32" s="57"/>
      <c r="DOZ32" s="54"/>
      <c r="DPA32" s="54"/>
      <c r="DPB32" s="54"/>
      <c r="DPC32" s="58"/>
      <c r="DPD32" s="58"/>
      <c r="DPE32" s="58"/>
      <c r="DPF32" s="58"/>
      <c r="DPG32" s="59"/>
      <c r="DPH32" s="60"/>
      <c r="DPI32" s="54"/>
      <c r="DPJ32" s="54"/>
      <c r="DPK32" s="36"/>
      <c r="DPL32" s="55"/>
      <c r="DPM32" s="54"/>
      <c r="DPN32" s="56"/>
      <c r="DPO32" s="57"/>
      <c r="DPP32" s="54"/>
      <c r="DPQ32" s="54"/>
      <c r="DPR32" s="54"/>
      <c r="DPS32" s="58"/>
      <c r="DPT32" s="58"/>
      <c r="DPU32" s="58"/>
      <c r="DPV32" s="58"/>
      <c r="DPW32" s="59"/>
      <c r="DPX32" s="60"/>
      <c r="DPY32" s="54"/>
      <c r="DPZ32" s="54"/>
      <c r="DQA32" s="36"/>
      <c r="DQB32" s="55"/>
      <c r="DQC32" s="54"/>
      <c r="DQD32" s="56"/>
      <c r="DQE32" s="57"/>
      <c r="DQF32" s="54"/>
      <c r="DQG32" s="54"/>
      <c r="DQH32" s="54"/>
      <c r="DQI32" s="58"/>
      <c r="DQJ32" s="58"/>
      <c r="DQK32" s="58"/>
      <c r="DQL32" s="58"/>
      <c r="DQM32" s="59"/>
      <c r="DQN32" s="60"/>
      <c r="DQO32" s="54"/>
      <c r="DQP32" s="54"/>
      <c r="DQQ32" s="36"/>
      <c r="DQR32" s="55"/>
      <c r="DQS32" s="54"/>
      <c r="DQT32" s="56"/>
      <c r="DQU32" s="57"/>
      <c r="DQV32" s="54"/>
      <c r="DQW32" s="54"/>
      <c r="DQX32" s="54"/>
      <c r="DQY32" s="58"/>
      <c r="DQZ32" s="58"/>
      <c r="DRA32" s="58"/>
      <c r="DRB32" s="58"/>
      <c r="DRC32" s="59"/>
      <c r="DRD32" s="60"/>
      <c r="DRE32" s="54"/>
      <c r="DRF32" s="54"/>
      <c r="DRG32" s="36"/>
      <c r="DRH32" s="55"/>
      <c r="DRI32" s="54"/>
      <c r="DRJ32" s="56"/>
      <c r="DRK32" s="57"/>
      <c r="DRL32" s="54"/>
      <c r="DRM32" s="54"/>
      <c r="DRN32" s="54"/>
      <c r="DRO32" s="58"/>
      <c r="DRP32" s="58"/>
      <c r="DRQ32" s="58"/>
      <c r="DRR32" s="58"/>
      <c r="DRS32" s="59"/>
      <c r="DRT32" s="60"/>
      <c r="DRU32" s="54"/>
      <c r="DRV32" s="54"/>
      <c r="DRW32" s="36"/>
      <c r="DRX32" s="55"/>
      <c r="DRY32" s="54"/>
      <c r="DRZ32" s="56"/>
      <c r="DSA32" s="57"/>
      <c r="DSB32" s="54"/>
      <c r="DSC32" s="54"/>
      <c r="DSD32" s="54"/>
      <c r="DSE32" s="58"/>
      <c r="DSF32" s="58"/>
      <c r="DSG32" s="58"/>
      <c r="DSH32" s="58"/>
      <c r="DSI32" s="59"/>
      <c r="DSJ32" s="60"/>
      <c r="DSK32" s="54"/>
      <c r="DSL32" s="54"/>
      <c r="DSM32" s="36"/>
      <c r="DSN32" s="55"/>
      <c r="DSO32" s="54"/>
      <c r="DSP32" s="56"/>
      <c r="DSQ32" s="57"/>
      <c r="DSR32" s="54"/>
      <c r="DSS32" s="54"/>
      <c r="DST32" s="54"/>
      <c r="DSU32" s="58"/>
      <c r="DSV32" s="58"/>
      <c r="DSW32" s="58"/>
      <c r="DSX32" s="58"/>
      <c r="DSY32" s="59"/>
      <c r="DSZ32" s="60"/>
      <c r="DTA32" s="54"/>
      <c r="DTB32" s="54"/>
      <c r="DTC32" s="36"/>
      <c r="DTD32" s="55"/>
      <c r="DTE32" s="54"/>
      <c r="DTF32" s="56"/>
      <c r="DTG32" s="57"/>
      <c r="DTH32" s="54"/>
      <c r="DTI32" s="54"/>
      <c r="DTJ32" s="54"/>
      <c r="DTK32" s="58"/>
      <c r="DTL32" s="58"/>
      <c r="DTM32" s="58"/>
      <c r="DTN32" s="58"/>
      <c r="DTO32" s="59"/>
      <c r="DTP32" s="60"/>
      <c r="DTQ32" s="54"/>
      <c r="DTR32" s="54"/>
      <c r="DTS32" s="36"/>
      <c r="DTT32" s="55"/>
      <c r="DTU32" s="54"/>
      <c r="DTV32" s="56"/>
      <c r="DTW32" s="57"/>
      <c r="DTX32" s="54"/>
      <c r="DTY32" s="54"/>
      <c r="DTZ32" s="54"/>
      <c r="DUA32" s="58"/>
      <c r="DUB32" s="58"/>
      <c r="DUC32" s="58"/>
      <c r="DUD32" s="58"/>
      <c r="DUE32" s="59"/>
      <c r="DUF32" s="60"/>
      <c r="DUG32" s="54"/>
      <c r="DUH32" s="54"/>
      <c r="DUI32" s="36"/>
      <c r="DUJ32" s="55"/>
      <c r="DUK32" s="54"/>
      <c r="DUL32" s="56"/>
      <c r="DUM32" s="57"/>
      <c r="DUN32" s="54"/>
      <c r="DUO32" s="54"/>
      <c r="DUP32" s="54"/>
      <c r="DUQ32" s="58"/>
      <c r="DUR32" s="58"/>
      <c r="DUS32" s="58"/>
      <c r="DUT32" s="58"/>
      <c r="DUU32" s="59"/>
      <c r="DUV32" s="60"/>
      <c r="DUW32" s="54"/>
      <c r="DUX32" s="54"/>
      <c r="DUY32" s="36"/>
      <c r="DUZ32" s="55"/>
      <c r="DVA32" s="54"/>
      <c r="DVB32" s="56"/>
      <c r="DVC32" s="57"/>
      <c r="DVD32" s="54"/>
      <c r="DVE32" s="54"/>
      <c r="DVF32" s="54"/>
      <c r="DVG32" s="58"/>
      <c r="DVH32" s="58"/>
      <c r="DVI32" s="58"/>
      <c r="DVJ32" s="58"/>
      <c r="DVK32" s="59"/>
      <c r="DVL32" s="60"/>
      <c r="DVM32" s="54"/>
      <c r="DVN32" s="54"/>
      <c r="DVO32" s="36"/>
      <c r="DVP32" s="55"/>
      <c r="DVQ32" s="54"/>
      <c r="DVR32" s="56"/>
      <c r="DVS32" s="57"/>
      <c r="DVT32" s="54"/>
      <c r="DVU32" s="54"/>
      <c r="DVV32" s="54"/>
      <c r="DVW32" s="58"/>
      <c r="DVX32" s="58"/>
      <c r="DVY32" s="58"/>
      <c r="DVZ32" s="58"/>
      <c r="DWA32" s="59"/>
      <c r="DWB32" s="60"/>
      <c r="DWC32" s="54"/>
      <c r="DWD32" s="54"/>
      <c r="DWE32" s="36"/>
      <c r="DWF32" s="55"/>
      <c r="DWG32" s="54"/>
      <c r="DWH32" s="56"/>
      <c r="DWI32" s="57"/>
      <c r="DWJ32" s="54"/>
      <c r="DWK32" s="54"/>
      <c r="DWL32" s="54"/>
      <c r="DWM32" s="58"/>
      <c r="DWN32" s="58"/>
      <c r="DWO32" s="58"/>
      <c r="DWP32" s="58"/>
      <c r="DWQ32" s="59"/>
      <c r="DWR32" s="60"/>
      <c r="DWS32" s="54"/>
      <c r="DWT32" s="54"/>
      <c r="DWU32" s="36"/>
      <c r="DWV32" s="55"/>
      <c r="DWW32" s="54"/>
      <c r="DWX32" s="56"/>
      <c r="DWY32" s="57"/>
      <c r="DWZ32" s="54"/>
      <c r="DXA32" s="54"/>
      <c r="DXB32" s="54"/>
      <c r="DXC32" s="58"/>
      <c r="DXD32" s="58"/>
      <c r="DXE32" s="58"/>
      <c r="DXF32" s="58"/>
      <c r="DXG32" s="59"/>
      <c r="DXH32" s="60"/>
      <c r="DXI32" s="54"/>
      <c r="DXJ32" s="54"/>
      <c r="DXK32" s="36"/>
      <c r="DXL32" s="55"/>
      <c r="DXM32" s="54"/>
      <c r="DXN32" s="56"/>
      <c r="DXO32" s="57"/>
      <c r="DXP32" s="54"/>
      <c r="DXQ32" s="54"/>
      <c r="DXR32" s="54"/>
      <c r="DXS32" s="58"/>
      <c r="DXT32" s="58"/>
      <c r="DXU32" s="58"/>
      <c r="DXV32" s="58"/>
      <c r="DXW32" s="59"/>
      <c r="DXX32" s="60"/>
      <c r="DXY32" s="54"/>
      <c r="DXZ32" s="54"/>
      <c r="DYA32" s="36"/>
      <c r="DYB32" s="55"/>
      <c r="DYC32" s="54"/>
      <c r="DYD32" s="56"/>
      <c r="DYE32" s="57"/>
      <c r="DYF32" s="54"/>
      <c r="DYG32" s="54"/>
      <c r="DYH32" s="54"/>
      <c r="DYI32" s="58"/>
      <c r="DYJ32" s="58"/>
      <c r="DYK32" s="58"/>
      <c r="DYL32" s="58"/>
      <c r="DYM32" s="59"/>
      <c r="DYN32" s="60"/>
      <c r="DYO32" s="54"/>
      <c r="DYP32" s="54"/>
      <c r="DYQ32" s="36"/>
      <c r="DYR32" s="55"/>
      <c r="DYS32" s="54"/>
      <c r="DYT32" s="56"/>
      <c r="DYU32" s="57"/>
      <c r="DYV32" s="54"/>
      <c r="DYW32" s="54"/>
      <c r="DYX32" s="54"/>
      <c r="DYY32" s="58"/>
      <c r="DYZ32" s="58"/>
      <c r="DZA32" s="58"/>
      <c r="DZB32" s="58"/>
      <c r="DZC32" s="59"/>
      <c r="DZD32" s="60"/>
      <c r="DZE32" s="54"/>
      <c r="DZF32" s="54"/>
      <c r="DZG32" s="36"/>
      <c r="DZH32" s="55"/>
      <c r="DZI32" s="54"/>
      <c r="DZJ32" s="56"/>
      <c r="DZK32" s="57"/>
      <c r="DZL32" s="54"/>
      <c r="DZM32" s="54"/>
      <c r="DZN32" s="54"/>
      <c r="DZO32" s="58"/>
      <c r="DZP32" s="58"/>
      <c r="DZQ32" s="58"/>
      <c r="DZR32" s="58"/>
      <c r="DZS32" s="59"/>
      <c r="DZT32" s="60"/>
      <c r="DZU32" s="54"/>
      <c r="DZV32" s="54"/>
      <c r="DZW32" s="36"/>
      <c r="DZX32" s="55"/>
      <c r="DZY32" s="54"/>
      <c r="DZZ32" s="56"/>
      <c r="EAA32" s="57"/>
      <c r="EAB32" s="54"/>
      <c r="EAC32" s="54"/>
      <c r="EAD32" s="54"/>
      <c r="EAE32" s="58"/>
      <c r="EAF32" s="58"/>
      <c r="EAG32" s="58"/>
      <c r="EAH32" s="58"/>
      <c r="EAI32" s="59"/>
      <c r="EAJ32" s="60"/>
      <c r="EAK32" s="54"/>
      <c r="EAL32" s="54"/>
      <c r="EAM32" s="36"/>
      <c r="EAN32" s="55"/>
      <c r="EAO32" s="54"/>
      <c r="EAP32" s="56"/>
      <c r="EAQ32" s="57"/>
      <c r="EAR32" s="54"/>
      <c r="EAS32" s="54"/>
      <c r="EAT32" s="54"/>
      <c r="EAU32" s="58"/>
      <c r="EAV32" s="58"/>
      <c r="EAW32" s="58"/>
      <c r="EAX32" s="58"/>
      <c r="EAY32" s="59"/>
      <c r="EAZ32" s="60"/>
      <c r="EBA32" s="54"/>
      <c r="EBB32" s="54"/>
      <c r="EBC32" s="36"/>
      <c r="EBD32" s="55"/>
      <c r="EBE32" s="54"/>
      <c r="EBF32" s="56"/>
      <c r="EBG32" s="57"/>
      <c r="EBH32" s="54"/>
      <c r="EBI32" s="54"/>
      <c r="EBJ32" s="54"/>
      <c r="EBK32" s="58"/>
      <c r="EBL32" s="58"/>
      <c r="EBM32" s="58"/>
      <c r="EBN32" s="58"/>
      <c r="EBO32" s="59"/>
      <c r="EBP32" s="60"/>
      <c r="EBQ32" s="54"/>
      <c r="EBR32" s="54"/>
      <c r="EBS32" s="36"/>
      <c r="EBT32" s="55"/>
      <c r="EBU32" s="54"/>
      <c r="EBV32" s="56"/>
      <c r="EBW32" s="57"/>
      <c r="EBX32" s="54"/>
      <c r="EBY32" s="54"/>
      <c r="EBZ32" s="54"/>
      <c r="ECA32" s="58"/>
      <c r="ECB32" s="58"/>
      <c r="ECC32" s="58"/>
      <c r="ECD32" s="58"/>
      <c r="ECE32" s="59"/>
      <c r="ECF32" s="60"/>
      <c r="ECG32" s="54"/>
      <c r="ECH32" s="54"/>
      <c r="ECI32" s="36"/>
      <c r="ECJ32" s="55"/>
      <c r="ECK32" s="54"/>
      <c r="ECL32" s="56"/>
      <c r="ECM32" s="57"/>
      <c r="ECN32" s="54"/>
      <c r="ECO32" s="54"/>
      <c r="ECP32" s="54"/>
      <c r="ECQ32" s="58"/>
      <c r="ECR32" s="58"/>
      <c r="ECS32" s="58"/>
      <c r="ECT32" s="58"/>
      <c r="ECU32" s="59"/>
      <c r="ECV32" s="60"/>
      <c r="ECW32" s="54"/>
      <c r="ECX32" s="54"/>
      <c r="ECY32" s="36"/>
      <c r="ECZ32" s="55"/>
      <c r="EDA32" s="54"/>
      <c r="EDB32" s="56"/>
      <c r="EDC32" s="57"/>
      <c r="EDD32" s="54"/>
      <c r="EDE32" s="54"/>
      <c r="EDF32" s="54"/>
      <c r="EDG32" s="58"/>
      <c r="EDH32" s="58"/>
      <c r="EDI32" s="58"/>
      <c r="EDJ32" s="58"/>
      <c r="EDK32" s="59"/>
      <c r="EDL32" s="60"/>
      <c r="EDM32" s="54"/>
      <c r="EDN32" s="54"/>
      <c r="EDO32" s="36"/>
      <c r="EDP32" s="55"/>
      <c r="EDQ32" s="54"/>
      <c r="EDR32" s="56"/>
      <c r="EDS32" s="57"/>
      <c r="EDT32" s="54"/>
      <c r="EDU32" s="54"/>
      <c r="EDV32" s="54"/>
      <c r="EDW32" s="58"/>
      <c r="EDX32" s="58"/>
      <c r="EDY32" s="58"/>
      <c r="EDZ32" s="58"/>
      <c r="EEA32" s="59"/>
      <c r="EEB32" s="60"/>
      <c r="EEC32" s="54"/>
      <c r="EED32" s="54"/>
      <c r="EEE32" s="36"/>
      <c r="EEF32" s="55"/>
      <c r="EEG32" s="54"/>
      <c r="EEH32" s="56"/>
      <c r="EEI32" s="57"/>
      <c r="EEJ32" s="54"/>
      <c r="EEK32" s="54"/>
      <c r="EEL32" s="54"/>
      <c r="EEM32" s="58"/>
      <c r="EEN32" s="58"/>
      <c r="EEO32" s="58"/>
      <c r="EEP32" s="58"/>
      <c r="EEQ32" s="59"/>
      <c r="EER32" s="60"/>
      <c r="EES32" s="54"/>
      <c r="EET32" s="54"/>
      <c r="EEU32" s="36"/>
      <c r="EEV32" s="55"/>
      <c r="EEW32" s="54"/>
      <c r="EEX32" s="56"/>
      <c r="EEY32" s="57"/>
      <c r="EEZ32" s="54"/>
      <c r="EFA32" s="54"/>
      <c r="EFB32" s="54"/>
      <c r="EFC32" s="58"/>
      <c r="EFD32" s="58"/>
      <c r="EFE32" s="58"/>
      <c r="EFF32" s="58"/>
      <c r="EFG32" s="59"/>
      <c r="EFH32" s="60"/>
      <c r="EFI32" s="54"/>
      <c r="EFJ32" s="54"/>
      <c r="EFK32" s="36"/>
      <c r="EFL32" s="55"/>
      <c r="EFM32" s="54"/>
      <c r="EFN32" s="56"/>
      <c r="EFO32" s="57"/>
      <c r="EFP32" s="54"/>
      <c r="EFQ32" s="54"/>
      <c r="EFR32" s="54"/>
      <c r="EFS32" s="58"/>
      <c r="EFT32" s="58"/>
      <c r="EFU32" s="58"/>
      <c r="EFV32" s="58"/>
      <c r="EFW32" s="59"/>
      <c r="EFX32" s="60"/>
      <c r="EFY32" s="54"/>
      <c r="EFZ32" s="54"/>
      <c r="EGA32" s="36"/>
      <c r="EGB32" s="55"/>
      <c r="EGC32" s="54"/>
      <c r="EGD32" s="56"/>
      <c r="EGE32" s="57"/>
      <c r="EGF32" s="54"/>
      <c r="EGG32" s="54"/>
      <c r="EGH32" s="54"/>
      <c r="EGI32" s="58"/>
      <c r="EGJ32" s="58"/>
      <c r="EGK32" s="58"/>
      <c r="EGL32" s="58"/>
      <c r="EGM32" s="59"/>
      <c r="EGN32" s="60"/>
      <c r="EGO32" s="54"/>
      <c r="EGP32" s="54"/>
      <c r="EGQ32" s="36"/>
      <c r="EGR32" s="55"/>
      <c r="EGS32" s="54"/>
      <c r="EGT32" s="56"/>
      <c r="EGU32" s="57"/>
      <c r="EGV32" s="54"/>
      <c r="EGW32" s="54"/>
      <c r="EGX32" s="54"/>
      <c r="EGY32" s="58"/>
      <c r="EGZ32" s="58"/>
      <c r="EHA32" s="58"/>
      <c r="EHB32" s="58"/>
      <c r="EHC32" s="59"/>
      <c r="EHD32" s="60"/>
      <c r="EHE32" s="54"/>
      <c r="EHF32" s="54"/>
      <c r="EHG32" s="36"/>
      <c r="EHH32" s="55"/>
      <c r="EHI32" s="54"/>
      <c r="EHJ32" s="56"/>
      <c r="EHK32" s="57"/>
      <c r="EHL32" s="54"/>
      <c r="EHM32" s="54"/>
      <c r="EHN32" s="54"/>
      <c r="EHO32" s="58"/>
      <c r="EHP32" s="58"/>
      <c r="EHQ32" s="58"/>
      <c r="EHR32" s="58"/>
      <c r="EHS32" s="59"/>
      <c r="EHT32" s="60"/>
      <c r="EHU32" s="54"/>
      <c r="EHV32" s="54"/>
      <c r="EHW32" s="36"/>
      <c r="EHX32" s="55"/>
      <c r="EHY32" s="54"/>
      <c r="EHZ32" s="56"/>
      <c r="EIA32" s="57"/>
      <c r="EIB32" s="54"/>
      <c r="EIC32" s="54"/>
      <c r="EID32" s="54"/>
      <c r="EIE32" s="58"/>
      <c r="EIF32" s="58"/>
      <c r="EIG32" s="58"/>
      <c r="EIH32" s="58"/>
      <c r="EII32" s="59"/>
      <c r="EIJ32" s="60"/>
      <c r="EIK32" s="54"/>
      <c r="EIL32" s="54"/>
      <c r="EIM32" s="36"/>
      <c r="EIN32" s="55"/>
      <c r="EIO32" s="54"/>
      <c r="EIP32" s="56"/>
      <c r="EIQ32" s="57"/>
      <c r="EIR32" s="54"/>
      <c r="EIS32" s="54"/>
      <c r="EIT32" s="54"/>
      <c r="EIU32" s="58"/>
      <c r="EIV32" s="58"/>
      <c r="EIW32" s="58"/>
      <c r="EIX32" s="58"/>
      <c r="EIY32" s="59"/>
      <c r="EIZ32" s="60"/>
      <c r="EJA32" s="54"/>
      <c r="EJB32" s="54"/>
      <c r="EJC32" s="36"/>
      <c r="EJD32" s="55"/>
      <c r="EJE32" s="54"/>
      <c r="EJF32" s="56"/>
      <c r="EJG32" s="57"/>
      <c r="EJH32" s="54"/>
      <c r="EJI32" s="54"/>
      <c r="EJJ32" s="54"/>
      <c r="EJK32" s="58"/>
      <c r="EJL32" s="58"/>
      <c r="EJM32" s="58"/>
      <c r="EJN32" s="58"/>
      <c r="EJO32" s="59"/>
      <c r="EJP32" s="60"/>
      <c r="EJQ32" s="54"/>
      <c r="EJR32" s="54"/>
      <c r="EJS32" s="36"/>
      <c r="EJT32" s="55"/>
      <c r="EJU32" s="54"/>
      <c r="EJV32" s="56"/>
      <c r="EJW32" s="57"/>
      <c r="EJX32" s="54"/>
      <c r="EJY32" s="54"/>
      <c r="EJZ32" s="54"/>
      <c r="EKA32" s="58"/>
      <c r="EKB32" s="58"/>
      <c r="EKC32" s="58"/>
      <c r="EKD32" s="58"/>
      <c r="EKE32" s="59"/>
      <c r="EKF32" s="60"/>
      <c r="EKG32" s="54"/>
      <c r="EKH32" s="54"/>
      <c r="EKI32" s="36"/>
      <c r="EKJ32" s="55"/>
      <c r="EKK32" s="54"/>
      <c r="EKL32" s="56"/>
      <c r="EKM32" s="57"/>
      <c r="EKN32" s="54"/>
      <c r="EKO32" s="54"/>
      <c r="EKP32" s="54"/>
      <c r="EKQ32" s="58"/>
      <c r="EKR32" s="58"/>
      <c r="EKS32" s="58"/>
      <c r="EKT32" s="58"/>
      <c r="EKU32" s="59"/>
      <c r="EKV32" s="60"/>
      <c r="EKW32" s="54"/>
      <c r="EKX32" s="54"/>
      <c r="EKY32" s="36"/>
      <c r="EKZ32" s="55"/>
      <c r="ELA32" s="54"/>
      <c r="ELB32" s="56"/>
      <c r="ELC32" s="57"/>
      <c r="ELD32" s="54"/>
      <c r="ELE32" s="54"/>
      <c r="ELF32" s="54"/>
      <c r="ELG32" s="58"/>
      <c r="ELH32" s="58"/>
      <c r="ELI32" s="58"/>
      <c r="ELJ32" s="58"/>
      <c r="ELK32" s="59"/>
      <c r="ELL32" s="60"/>
      <c r="ELM32" s="54"/>
      <c r="ELN32" s="54"/>
      <c r="ELO32" s="36"/>
      <c r="ELP32" s="55"/>
      <c r="ELQ32" s="54"/>
      <c r="ELR32" s="56"/>
      <c r="ELS32" s="57"/>
      <c r="ELT32" s="54"/>
      <c r="ELU32" s="54"/>
      <c r="ELV32" s="54"/>
      <c r="ELW32" s="58"/>
      <c r="ELX32" s="58"/>
      <c r="ELY32" s="58"/>
      <c r="ELZ32" s="58"/>
      <c r="EMA32" s="59"/>
      <c r="EMB32" s="60"/>
      <c r="EMC32" s="54"/>
      <c r="EMD32" s="54"/>
      <c r="EME32" s="36"/>
      <c r="EMF32" s="55"/>
      <c r="EMG32" s="54"/>
      <c r="EMH32" s="56"/>
      <c r="EMI32" s="57"/>
      <c r="EMJ32" s="54"/>
      <c r="EMK32" s="54"/>
      <c r="EML32" s="54"/>
      <c r="EMM32" s="58"/>
      <c r="EMN32" s="58"/>
      <c r="EMO32" s="58"/>
      <c r="EMP32" s="58"/>
      <c r="EMQ32" s="59"/>
      <c r="EMR32" s="60"/>
      <c r="EMS32" s="54"/>
      <c r="EMT32" s="54"/>
      <c r="EMU32" s="36"/>
      <c r="EMV32" s="55"/>
      <c r="EMW32" s="54"/>
      <c r="EMX32" s="56"/>
      <c r="EMY32" s="57"/>
      <c r="EMZ32" s="54"/>
      <c r="ENA32" s="54"/>
      <c r="ENB32" s="54"/>
      <c r="ENC32" s="58"/>
      <c r="END32" s="58"/>
      <c r="ENE32" s="58"/>
      <c r="ENF32" s="58"/>
      <c r="ENG32" s="59"/>
      <c r="ENH32" s="60"/>
      <c r="ENI32" s="54"/>
      <c r="ENJ32" s="54"/>
      <c r="ENK32" s="36"/>
      <c r="ENL32" s="55"/>
      <c r="ENM32" s="54"/>
      <c r="ENN32" s="56"/>
      <c r="ENO32" s="57"/>
      <c r="ENP32" s="54"/>
      <c r="ENQ32" s="54"/>
      <c r="ENR32" s="54"/>
      <c r="ENS32" s="58"/>
      <c r="ENT32" s="58"/>
      <c r="ENU32" s="58"/>
      <c r="ENV32" s="58"/>
      <c r="ENW32" s="59"/>
      <c r="ENX32" s="60"/>
      <c r="ENY32" s="54"/>
      <c r="ENZ32" s="54"/>
      <c r="EOA32" s="36"/>
      <c r="EOB32" s="55"/>
      <c r="EOC32" s="54"/>
      <c r="EOD32" s="56"/>
      <c r="EOE32" s="57"/>
      <c r="EOF32" s="54"/>
      <c r="EOG32" s="54"/>
      <c r="EOH32" s="54"/>
      <c r="EOI32" s="58"/>
      <c r="EOJ32" s="58"/>
      <c r="EOK32" s="58"/>
      <c r="EOL32" s="58"/>
      <c r="EOM32" s="59"/>
      <c r="EON32" s="60"/>
      <c r="EOO32" s="54"/>
      <c r="EOP32" s="54"/>
      <c r="EOQ32" s="36"/>
      <c r="EOR32" s="55"/>
      <c r="EOS32" s="54"/>
      <c r="EOT32" s="56"/>
      <c r="EOU32" s="57"/>
      <c r="EOV32" s="54"/>
      <c r="EOW32" s="54"/>
      <c r="EOX32" s="54"/>
      <c r="EOY32" s="58"/>
      <c r="EOZ32" s="58"/>
      <c r="EPA32" s="58"/>
      <c r="EPB32" s="58"/>
      <c r="EPC32" s="59"/>
      <c r="EPD32" s="60"/>
      <c r="EPE32" s="54"/>
      <c r="EPF32" s="54"/>
      <c r="EPG32" s="36"/>
      <c r="EPH32" s="55"/>
      <c r="EPI32" s="54"/>
      <c r="EPJ32" s="56"/>
      <c r="EPK32" s="57"/>
      <c r="EPL32" s="54"/>
      <c r="EPM32" s="54"/>
      <c r="EPN32" s="54"/>
      <c r="EPO32" s="58"/>
      <c r="EPP32" s="58"/>
      <c r="EPQ32" s="58"/>
      <c r="EPR32" s="58"/>
      <c r="EPS32" s="59"/>
      <c r="EPT32" s="60"/>
      <c r="EPU32" s="54"/>
      <c r="EPV32" s="54"/>
      <c r="EPW32" s="36"/>
      <c r="EPX32" s="55"/>
      <c r="EPY32" s="54"/>
      <c r="EPZ32" s="56"/>
      <c r="EQA32" s="57"/>
      <c r="EQB32" s="54"/>
      <c r="EQC32" s="54"/>
      <c r="EQD32" s="54"/>
      <c r="EQE32" s="58"/>
      <c r="EQF32" s="58"/>
      <c r="EQG32" s="58"/>
      <c r="EQH32" s="58"/>
      <c r="EQI32" s="59"/>
      <c r="EQJ32" s="60"/>
      <c r="EQK32" s="54"/>
      <c r="EQL32" s="54"/>
      <c r="EQM32" s="36"/>
      <c r="EQN32" s="55"/>
      <c r="EQO32" s="54"/>
      <c r="EQP32" s="56"/>
      <c r="EQQ32" s="57"/>
      <c r="EQR32" s="54"/>
      <c r="EQS32" s="54"/>
      <c r="EQT32" s="54"/>
      <c r="EQU32" s="58"/>
      <c r="EQV32" s="58"/>
      <c r="EQW32" s="58"/>
      <c r="EQX32" s="58"/>
      <c r="EQY32" s="59"/>
      <c r="EQZ32" s="60"/>
      <c r="ERA32" s="54"/>
      <c r="ERB32" s="54"/>
      <c r="ERC32" s="36"/>
      <c r="ERD32" s="55"/>
      <c r="ERE32" s="54"/>
      <c r="ERF32" s="56"/>
      <c r="ERG32" s="57"/>
      <c r="ERH32" s="54"/>
      <c r="ERI32" s="54"/>
      <c r="ERJ32" s="54"/>
      <c r="ERK32" s="58"/>
      <c r="ERL32" s="58"/>
      <c r="ERM32" s="58"/>
      <c r="ERN32" s="58"/>
      <c r="ERO32" s="59"/>
      <c r="ERP32" s="60"/>
      <c r="ERQ32" s="54"/>
      <c r="ERR32" s="54"/>
      <c r="ERS32" s="36"/>
      <c r="ERT32" s="55"/>
      <c r="ERU32" s="54"/>
      <c r="ERV32" s="56"/>
      <c r="ERW32" s="57"/>
      <c r="ERX32" s="54"/>
      <c r="ERY32" s="54"/>
      <c r="ERZ32" s="54"/>
      <c r="ESA32" s="58"/>
      <c r="ESB32" s="58"/>
      <c r="ESC32" s="58"/>
      <c r="ESD32" s="58"/>
      <c r="ESE32" s="59"/>
      <c r="ESF32" s="60"/>
      <c r="ESG32" s="54"/>
      <c r="ESH32" s="54"/>
      <c r="ESI32" s="36"/>
      <c r="ESJ32" s="55"/>
      <c r="ESK32" s="54"/>
      <c r="ESL32" s="56"/>
      <c r="ESM32" s="57"/>
      <c r="ESN32" s="54"/>
      <c r="ESO32" s="54"/>
      <c r="ESP32" s="54"/>
      <c r="ESQ32" s="58"/>
      <c r="ESR32" s="58"/>
      <c r="ESS32" s="58"/>
      <c r="EST32" s="58"/>
      <c r="ESU32" s="59"/>
      <c r="ESV32" s="60"/>
      <c r="ESW32" s="54"/>
      <c r="ESX32" s="54"/>
      <c r="ESY32" s="36"/>
      <c r="ESZ32" s="55"/>
      <c r="ETA32" s="54"/>
      <c r="ETB32" s="56"/>
      <c r="ETC32" s="57"/>
      <c r="ETD32" s="54"/>
      <c r="ETE32" s="54"/>
      <c r="ETF32" s="54"/>
      <c r="ETG32" s="58"/>
      <c r="ETH32" s="58"/>
      <c r="ETI32" s="58"/>
      <c r="ETJ32" s="58"/>
      <c r="ETK32" s="59"/>
      <c r="ETL32" s="60"/>
      <c r="ETM32" s="54"/>
      <c r="ETN32" s="54"/>
      <c r="ETO32" s="36"/>
      <c r="ETP32" s="55"/>
      <c r="ETQ32" s="54"/>
      <c r="ETR32" s="56"/>
      <c r="ETS32" s="57"/>
      <c r="ETT32" s="54"/>
      <c r="ETU32" s="54"/>
      <c r="ETV32" s="54"/>
      <c r="ETW32" s="58"/>
      <c r="ETX32" s="58"/>
      <c r="ETY32" s="58"/>
      <c r="ETZ32" s="58"/>
      <c r="EUA32" s="59"/>
      <c r="EUB32" s="60"/>
      <c r="EUC32" s="54"/>
      <c r="EUD32" s="54"/>
      <c r="EUE32" s="36"/>
      <c r="EUF32" s="55"/>
      <c r="EUG32" s="54"/>
      <c r="EUH32" s="56"/>
      <c r="EUI32" s="57"/>
      <c r="EUJ32" s="54"/>
      <c r="EUK32" s="54"/>
      <c r="EUL32" s="54"/>
      <c r="EUM32" s="58"/>
      <c r="EUN32" s="58"/>
      <c r="EUO32" s="58"/>
      <c r="EUP32" s="58"/>
      <c r="EUQ32" s="59"/>
      <c r="EUR32" s="60"/>
      <c r="EUS32" s="54"/>
      <c r="EUT32" s="54"/>
      <c r="EUU32" s="36"/>
      <c r="EUV32" s="55"/>
      <c r="EUW32" s="54"/>
      <c r="EUX32" s="56"/>
      <c r="EUY32" s="57"/>
      <c r="EUZ32" s="54"/>
      <c r="EVA32" s="54"/>
      <c r="EVB32" s="54"/>
      <c r="EVC32" s="58"/>
      <c r="EVD32" s="58"/>
      <c r="EVE32" s="58"/>
      <c r="EVF32" s="58"/>
      <c r="EVG32" s="59"/>
      <c r="EVH32" s="60"/>
      <c r="EVI32" s="54"/>
      <c r="EVJ32" s="54"/>
      <c r="EVK32" s="36"/>
      <c r="EVL32" s="55"/>
      <c r="EVM32" s="54"/>
      <c r="EVN32" s="56"/>
      <c r="EVO32" s="57"/>
      <c r="EVP32" s="54"/>
      <c r="EVQ32" s="54"/>
      <c r="EVR32" s="54"/>
      <c r="EVS32" s="58"/>
      <c r="EVT32" s="58"/>
      <c r="EVU32" s="58"/>
      <c r="EVV32" s="58"/>
      <c r="EVW32" s="59"/>
      <c r="EVX32" s="60"/>
      <c r="EVY32" s="54"/>
      <c r="EVZ32" s="54"/>
      <c r="EWA32" s="36"/>
      <c r="EWB32" s="55"/>
      <c r="EWC32" s="54"/>
      <c r="EWD32" s="56"/>
      <c r="EWE32" s="57"/>
      <c r="EWF32" s="54"/>
      <c r="EWG32" s="54"/>
      <c r="EWH32" s="54"/>
      <c r="EWI32" s="58"/>
      <c r="EWJ32" s="58"/>
      <c r="EWK32" s="58"/>
      <c r="EWL32" s="58"/>
      <c r="EWM32" s="59"/>
      <c r="EWN32" s="60"/>
      <c r="EWO32" s="54"/>
      <c r="EWP32" s="54"/>
      <c r="EWQ32" s="36"/>
      <c r="EWR32" s="55"/>
      <c r="EWS32" s="54"/>
      <c r="EWT32" s="56"/>
      <c r="EWU32" s="57"/>
      <c r="EWV32" s="54"/>
      <c r="EWW32" s="54"/>
      <c r="EWX32" s="54"/>
      <c r="EWY32" s="58"/>
      <c r="EWZ32" s="58"/>
      <c r="EXA32" s="58"/>
      <c r="EXB32" s="58"/>
      <c r="EXC32" s="59"/>
      <c r="EXD32" s="60"/>
      <c r="EXE32" s="54"/>
      <c r="EXF32" s="54"/>
      <c r="EXG32" s="36"/>
      <c r="EXH32" s="55"/>
      <c r="EXI32" s="54"/>
      <c r="EXJ32" s="56"/>
      <c r="EXK32" s="57"/>
      <c r="EXL32" s="54"/>
      <c r="EXM32" s="54"/>
      <c r="EXN32" s="54"/>
      <c r="EXO32" s="58"/>
      <c r="EXP32" s="58"/>
      <c r="EXQ32" s="58"/>
      <c r="EXR32" s="58"/>
      <c r="EXS32" s="59"/>
      <c r="EXT32" s="60"/>
      <c r="EXU32" s="54"/>
      <c r="EXV32" s="54"/>
      <c r="EXW32" s="36"/>
      <c r="EXX32" s="55"/>
      <c r="EXY32" s="54"/>
      <c r="EXZ32" s="56"/>
      <c r="EYA32" s="57"/>
      <c r="EYB32" s="54"/>
      <c r="EYC32" s="54"/>
      <c r="EYD32" s="54"/>
      <c r="EYE32" s="58"/>
      <c r="EYF32" s="58"/>
      <c r="EYG32" s="58"/>
      <c r="EYH32" s="58"/>
      <c r="EYI32" s="59"/>
      <c r="EYJ32" s="60"/>
      <c r="EYK32" s="54"/>
      <c r="EYL32" s="54"/>
      <c r="EYM32" s="36"/>
      <c r="EYN32" s="55"/>
      <c r="EYO32" s="54"/>
      <c r="EYP32" s="56"/>
      <c r="EYQ32" s="57"/>
      <c r="EYR32" s="54"/>
      <c r="EYS32" s="54"/>
      <c r="EYT32" s="54"/>
      <c r="EYU32" s="58"/>
      <c r="EYV32" s="58"/>
      <c r="EYW32" s="58"/>
      <c r="EYX32" s="58"/>
      <c r="EYY32" s="59"/>
      <c r="EYZ32" s="60"/>
      <c r="EZA32" s="54"/>
      <c r="EZB32" s="54"/>
      <c r="EZC32" s="36"/>
      <c r="EZD32" s="55"/>
      <c r="EZE32" s="54"/>
      <c r="EZF32" s="56"/>
      <c r="EZG32" s="57"/>
      <c r="EZH32" s="54"/>
      <c r="EZI32" s="54"/>
      <c r="EZJ32" s="54"/>
      <c r="EZK32" s="58"/>
      <c r="EZL32" s="58"/>
      <c r="EZM32" s="58"/>
      <c r="EZN32" s="58"/>
      <c r="EZO32" s="59"/>
      <c r="EZP32" s="60"/>
      <c r="EZQ32" s="54"/>
      <c r="EZR32" s="54"/>
      <c r="EZS32" s="36"/>
      <c r="EZT32" s="55"/>
      <c r="EZU32" s="54"/>
      <c r="EZV32" s="56"/>
      <c r="EZW32" s="57"/>
      <c r="EZX32" s="54"/>
      <c r="EZY32" s="54"/>
      <c r="EZZ32" s="54"/>
      <c r="FAA32" s="58"/>
      <c r="FAB32" s="58"/>
      <c r="FAC32" s="58"/>
      <c r="FAD32" s="58"/>
      <c r="FAE32" s="59"/>
      <c r="FAF32" s="60"/>
      <c r="FAG32" s="54"/>
      <c r="FAH32" s="54"/>
      <c r="FAI32" s="36"/>
      <c r="FAJ32" s="55"/>
      <c r="FAK32" s="54"/>
      <c r="FAL32" s="56"/>
      <c r="FAM32" s="57"/>
      <c r="FAN32" s="54"/>
      <c r="FAO32" s="54"/>
      <c r="FAP32" s="54"/>
      <c r="FAQ32" s="58"/>
      <c r="FAR32" s="58"/>
      <c r="FAS32" s="58"/>
      <c r="FAT32" s="58"/>
      <c r="FAU32" s="59"/>
      <c r="FAV32" s="60"/>
      <c r="FAW32" s="54"/>
      <c r="FAX32" s="54"/>
      <c r="FAY32" s="36"/>
      <c r="FAZ32" s="55"/>
      <c r="FBA32" s="54"/>
      <c r="FBB32" s="56"/>
      <c r="FBC32" s="57"/>
      <c r="FBD32" s="54"/>
      <c r="FBE32" s="54"/>
      <c r="FBF32" s="54"/>
      <c r="FBG32" s="58"/>
      <c r="FBH32" s="58"/>
      <c r="FBI32" s="58"/>
      <c r="FBJ32" s="58"/>
      <c r="FBK32" s="59"/>
      <c r="FBL32" s="60"/>
      <c r="FBM32" s="54"/>
      <c r="FBN32" s="54"/>
      <c r="FBO32" s="36"/>
      <c r="FBP32" s="55"/>
      <c r="FBQ32" s="54"/>
      <c r="FBR32" s="56"/>
      <c r="FBS32" s="57"/>
      <c r="FBT32" s="54"/>
      <c r="FBU32" s="54"/>
      <c r="FBV32" s="54"/>
      <c r="FBW32" s="58"/>
      <c r="FBX32" s="58"/>
      <c r="FBY32" s="58"/>
      <c r="FBZ32" s="58"/>
      <c r="FCA32" s="59"/>
      <c r="FCB32" s="60"/>
      <c r="FCC32" s="54"/>
      <c r="FCD32" s="54"/>
      <c r="FCE32" s="36"/>
      <c r="FCF32" s="55"/>
      <c r="FCG32" s="54"/>
      <c r="FCH32" s="56"/>
      <c r="FCI32" s="57"/>
      <c r="FCJ32" s="54"/>
      <c r="FCK32" s="54"/>
      <c r="FCL32" s="54"/>
      <c r="FCM32" s="58"/>
      <c r="FCN32" s="58"/>
      <c r="FCO32" s="58"/>
      <c r="FCP32" s="58"/>
      <c r="FCQ32" s="59"/>
      <c r="FCR32" s="60"/>
      <c r="FCS32" s="54"/>
      <c r="FCT32" s="54"/>
      <c r="FCU32" s="36"/>
      <c r="FCV32" s="55"/>
      <c r="FCW32" s="54"/>
      <c r="FCX32" s="56"/>
      <c r="FCY32" s="57"/>
      <c r="FCZ32" s="54"/>
      <c r="FDA32" s="54"/>
      <c r="FDB32" s="54"/>
      <c r="FDC32" s="58"/>
      <c r="FDD32" s="58"/>
      <c r="FDE32" s="58"/>
      <c r="FDF32" s="58"/>
      <c r="FDG32" s="59"/>
      <c r="FDH32" s="60"/>
      <c r="FDI32" s="54"/>
      <c r="FDJ32" s="54"/>
      <c r="FDK32" s="36"/>
      <c r="FDL32" s="55"/>
      <c r="FDM32" s="54"/>
      <c r="FDN32" s="56"/>
      <c r="FDO32" s="57"/>
      <c r="FDP32" s="54"/>
      <c r="FDQ32" s="54"/>
      <c r="FDR32" s="54"/>
      <c r="FDS32" s="58"/>
      <c r="FDT32" s="58"/>
      <c r="FDU32" s="58"/>
      <c r="FDV32" s="58"/>
      <c r="FDW32" s="59"/>
      <c r="FDX32" s="60"/>
      <c r="FDY32" s="54"/>
      <c r="FDZ32" s="54"/>
      <c r="FEA32" s="36"/>
      <c r="FEB32" s="55"/>
      <c r="FEC32" s="54"/>
      <c r="FED32" s="56"/>
      <c r="FEE32" s="57"/>
      <c r="FEF32" s="54"/>
      <c r="FEG32" s="54"/>
      <c r="FEH32" s="54"/>
      <c r="FEI32" s="58"/>
      <c r="FEJ32" s="58"/>
      <c r="FEK32" s="58"/>
      <c r="FEL32" s="58"/>
      <c r="FEM32" s="59"/>
      <c r="FEN32" s="60"/>
      <c r="FEO32" s="54"/>
      <c r="FEP32" s="54"/>
      <c r="FEQ32" s="36"/>
      <c r="FER32" s="55"/>
      <c r="FES32" s="54"/>
      <c r="FET32" s="56"/>
      <c r="FEU32" s="57"/>
      <c r="FEV32" s="54"/>
      <c r="FEW32" s="54"/>
      <c r="FEX32" s="54"/>
      <c r="FEY32" s="58"/>
      <c r="FEZ32" s="58"/>
      <c r="FFA32" s="58"/>
      <c r="FFB32" s="58"/>
      <c r="FFC32" s="59"/>
      <c r="FFD32" s="60"/>
      <c r="FFE32" s="54"/>
      <c r="FFF32" s="54"/>
      <c r="FFG32" s="36"/>
      <c r="FFH32" s="55"/>
      <c r="FFI32" s="54"/>
      <c r="FFJ32" s="56"/>
      <c r="FFK32" s="57"/>
      <c r="FFL32" s="54"/>
      <c r="FFM32" s="54"/>
      <c r="FFN32" s="54"/>
      <c r="FFO32" s="58"/>
      <c r="FFP32" s="58"/>
      <c r="FFQ32" s="58"/>
      <c r="FFR32" s="58"/>
      <c r="FFS32" s="59"/>
      <c r="FFT32" s="60"/>
      <c r="FFU32" s="54"/>
      <c r="FFV32" s="54"/>
      <c r="FFW32" s="36"/>
      <c r="FFX32" s="55"/>
      <c r="FFY32" s="54"/>
      <c r="FFZ32" s="56"/>
      <c r="FGA32" s="57"/>
      <c r="FGB32" s="54"/>
      <c r="FGC32" s="54"/>
      <c r="FGD32" s="54"/>
      <c r="FGE32" s="58"/>
      <c r="FGF32" s="58"/>
      <c r="FGG32" s="58"/>
      <c r="FGH32" s="58"/>
      <c r="FGI32" s="59"/>
      <c r="FGJ32" s="60"/>
      <c r="FGK32" s="54"/>
      <c r="FGL32" s="54"/>
      <c r="FGM32" s="36"/>
      <c r="FGN32" s="55"/>
      <c r="FGO32" s="54"/>
      <c r="FGP32" s="56"/>
      <c r="FGQ32" s="57"/>
      <c r="FGR32" s="54"/>
      <c r="FGS32" s="54"/>
      <c r="FGT32" s="54"/>
      <c r="FGU32" s="58"/>
      <c r="FGV32" s="58"/>
      <c r="FGW32" s="58"/>
      <c r="FGX32" s="58"/>
      <c r="FGY32" s="59"/>
      <c r="FGZ32" s="60"/>
      <c r="FHA32" s="54"/>
      <c r="FHB32" s="54"/>
      <c r="FHC32" s="36"/>
      <c r="FHD32" s="55"/>
      <c r="FHE32" s="54"/>
      <c r="FHF32" s="56"/>
      <c r="FHG32" s="57"/>
      <c r="FHH32" s="54"/>
      <c r="FHI32" s="54"/>
      <c r="FHJ32" s="54"/>
      <c r="FHK32" s="58"/>
      <c r="FHL32" s="58"/>
      <c r="FHM32" s="58"/>
      <c r="FHN32" s="58"/>
      <c r="FHO32" s="59"/>
      <c r="FHP32" s="60"/>
      <c r="FHQ32" s="54"/>
      <c r="FHR32" s="54"/>
      <c r="FHS32" s="36"/>
      <c r="FHT32" s="55"/>
      <c r="FHU32" s="54"/>
      <c r="FHV32" s="56"/>
      <c r="FHW32" s="57"/>
      <c r="FHX32" s="54"/>
      <c r="FHY32" s="54"/>
      <c r="FHZ32" s="54"/>
      <c r="FIA32" s="58"/>
      <c r="FIB32" s="58"/>
      <c r="FIC32" s="58"/>
      <c r="FID32" s="58"/>
      <c r="FIE32" s="59"/>
      <c r="FIF32" s="60"/>
      <c r="FIG32" s="54"/>
      <c r="FIH32" s="54"/>
      <c r="FII32" s="36"/>
      <c r="FIJ32" s="55"/>
      <c r="FIK32" s="54"/>
      <c r="FIL32" s="56"/>
      <c r="FIM32" s="57"/>
      <c r="FIN32" s="54"/>
      <c r="FIO32" s="54"/>
      <c r="FIP32" s="54"/>
      <c r="FIQ32" s="58"/>
      <c r="FIR32" s="58"/>
      <c r="FIS32" s="58"/>
      <c r="FIT32" s="58"/>
      <c r="FIU32" s="59"/>
      <c r="FIV32" s="60"/>
      <c r="FIW32" s="54"/>
      <c r="FIX32" s="54"/>
      <c r="FIY32" s="36"/>
      <c r="FIZ32" s="55"/>
      <c r="FJA32" s="54"/>
      <c r="FJB32" s="56"/>
      <c r="FJC32" s="57"/>
      <c r="FJD32" s="54"/>
      <c r="FJE32" s="54"/>
      <c r="FJF32" s="54"/>
      <c r="FJG32" s="58"/>
      <c r="FJH32" s="58"/>
      <c r="FJI32" s="58"/>
      <c r="FJJ32" s="58"/>
      <c r="FJK32" s="59"/>
      <c r="FJL32" s="60"/>
      <c r="FJM32" s="54"/>
      <c r="FJN32" s="54"/>
      <c r="FJO32" s="36"/>
      <c r="FJP32" s="55"/>
      <c r="FJQ32" s="54"/>
      <c r="FJR32" s="56"/>
      <c r="FJS32" s="57"/>
      <c r="FJT32" s="54"/>
      <c r="FJU32" s="54"/>
      <c r="FJV32" s="54"/>
      <c r="FJW32" s="58"/>
      <c r="FJX32" s="58"/>
      <c r="FJY32" s="58"/>
      <c r="FJZ32" s="58"/>
      <c r="FKA32" s="59"/>
      <c r="FKB32" s="60"/>
      <c r="FKC32" s="54"/>
      <c r="FKD32" s="54"/>
      <c r="FKE32" s="36"/>
      <c r="FKF32" s="55"/>
      <c r="FKG32" s="54"/>
      <c r="FKH32" s="56"/>
      <c r="FKI32" s="57"/>
      <c r="FKJ32" s="54"/>
      <c r="FKK32" s="54"/>
      <c r="FKL32" s="54"/>
      <c r="FKM32" s="58"/>
      <c r="FKN32" s="58"/>
      <c r="FKO32" s="58"/>
      <c r="FKP32" s="58"/>
      <c r="FKQ32" s="59"/>
      <c r="FKR32" s="60"/>
      <c r="FKS32" s="54"/>
      <c r="FKT32" s="54"/>
      <c r="FKU32" s="36"/>
      <c r="FKV32" s="55"/>
      <c r="FKW32" s="54"/>
      <c r="FKX32" s="56"/>
      <c r="FKY32" s="57"/>
      <c r="FKZ32" s="54"/>
      <c r="FLA32" s="54"/>
      <c r="FLB32" s="54"/>
      <c r="FLC32" s="58"/>
      <c r="FLD32" s="58"/>
      <c r="FLE32" s="58"/>
      <c r="FLF32" s="58"/>
      <c r="FLG32" s="59"/>
      <c r="FLH32" s="60"/>
      <c r="FLI32" s="54"/>
      <c r="FLJ32" s="54"/>
      <c r="FLK32" s="36"/>
      <c r="FLL32" s="55"/>
      <c r="FLM32" s="54"/>
      <c r="FLN32" s="56"/>
      <c r="FLO32" s="57"/>
      <c r="FLP32" s="54"/>
      <c r="FLQ32" s="54"/>
      <c r="FLR32" s="54"/>
      <c r="FLS32" s="58"/>
      <c r="FLT32" s="58"/>
      <c r="FLU32" s="58"/>
      <c r="FLV32" s="58"/>
      <c r="FLW32" s="59"/>
      <c r="FLX32" s="60"/>
      <c r="FLY32" s="54"/>
      <c r="FLZ32" s="54"/>
      <c r="FMA32" s="36"/>
      <c r="FMB32" s="55"/>
      <c r="FMC32" s="54"/>
      <c r="FMD32" s="56"/>
      <c r="FME32" s="57"/>
      <c r="FMF32" s="54"/>
      <c r="FMG32" s="54"/>
      <c r="FMH32" s="54"/>
      <c r="FMI32" s="58"/>
      <c r="FMJ32" s="58"/>
      <c r="FMK32" s="58"/>
      <c r="FML32" s="58"/>
      <c r="FMM32" s="59"/>
      <c r="FMN32" s="60"/>
      <c r="FMO32" s="54"/>
      <c r="FMP32" s="54"/>
      <c r="FMQ32" s="36"/>
      <c r="FMR32" s="55"/>
      <c r="FMS32" s="54"/>
      <c r="FMT32" s="56"/>
      <c r="FMU32" s="57"/>
      <c r="FMV32" s="54"/>
      <c r="FMW32" s="54"/>
      <c r="FMX32" s="54"/>
      <c r="FMY32" s="58"/>
      <c r="FMZ32" s="58"/>
      <c r="FNA32" s="58"/>
      <c r="FNB32" s="58"/>
      <c r="FNC32" s="59"/>
      <c r="FND32" s="60"/>
      <c r="FNE32" s="54"/>
      <c r="FNF32" s="54"/>
      <c r="FNG32" s="36"/>
      <c r="FNH32" s="55"/>
      <c r="FNI32" s="54"/>
      <c r="FNJ32" s="56"/>
      <c r="FNK32" s="57"/>
      <c r="FNL32" s="54"/>
      <c r="FNM32" s="54"/>
      <c r="FNN32" s="54"/>
      <c r="FNO32" s="58"/>
      <c r="FNP32" s="58"/>
      <c r="FNQ32" s="58"/>
      <c r="FNR32" s="58"/>
      <c r="FNS32" s="59"/>
      <c r="FNT32" s="60"/>
      <c r="FNU32" s="54"/>
      <c r="FNV32" s="54"/>
      <c r="FNW32" s="36"/>
      <c r="FNX32" s="55"/>
      <c r="FNY32" s="54"/>
      <c r="FNZ32" s="56"/>
      <c r="FOA32" s="57"/>
      <c r="FOB32" s="54"/>
      <c r="FOC32" s="54"/>
      <c r="FOD32" s="54"/>
      <c r="FOE32" s="58"/>
      <c r="FOF32" s="58"/>
      <c r="FOG32" s="58"/>
      <c r="FOH32" s="58"/>
      <c r="FOI32" s="59"/>
      <c r="FOJ32" s="60"/>
      <c r="FOK32" s="54"/>
      <c r="FOL32" s="54"/>
      <c r="FOM32" s="36"/>
      <c r="FON32" s="55"/>
      <c r="FOO32" s="54"/>
      <c r="FOP32" s="56"/>
      <c r="FOQ32" s="57"/>
      <c r="FOR32" s="54"/>
      <c r="FOS32" s="54"/>
      <c r="FOT32" s="54"/>
      <c r="FOU32" s="58"/>
      <c r="FOV32" s="58"/>
      <c r="FOW32" s="58"/>
      <c r="FOX32" s="58"/>
      <c r="FOY32" s="59"/>
      <c r="FOZ32" s="60"/>
      <c r="FPA32" s="54"/>
      <c r="FPB32" s="54"/>
      <c r="FPC32" s="36"/>
      <c r="FPD32" s="55"/>
      <c r="FPE32" s="54"/>
      <c r="FPF32" s="56"/>
      <c r="FPG32" s="57"/>
      <c r="FPH32" s="54"/>
      <c r="FPI32" s="54"/>
      <c r="FPJ32" s="54"/>
      <c r="FPK32" s="58"/>
      <c r="FPL32" s="58"/>
      <c r="FPM32" s="58"/>
      <c r="FPN32" s="58"/>
      <c r="FPO32" s="59"/>
      <c r="FPP32" s="60"/>
      <c r="FPQ32" s="54"/>
      <c r="FPR32" s="54"/>
      <c r="FPS32" s="36"/>
      <c r="FPT32" s="55"/>
      <c r="FPU32" s="54"/>
      <c r="FPV32" s="56"/>
      <c r="FPW32" s="57"/>
      <c r="FPX32" s="54"/>
      <c r="FPY32" s="54"/>
      <c r="FPZ32" s="54"/>
      <c r="FQA32" s="58"/>
      <c r="FQB32" s="58"/>
      <c r="FQC32" s="58"/>
      <c r="FQD32" s="58"/>
      <c r="FQE32" s="59"/>
      <c r="FQF32" s="60"/>
      <c r="FQG32" s="54"/>
      <c r="FQH32" s="54"/>
      <c r="FQI32" s="36"/>
      <c r="FQJ32" s="55"/>
      <c r="FQK32" s="54"/>
      <c r="FQL32" s="56"/>
      <c r="FQM32" s="57"/>
      <c r="FQN32" s="54"/>
      <c r="FQO32" s="54"/>
      <c r="FQP32" s="54"/>
      <c r="FQQ32" s="58"/>
      <c r="FQR32" s="58"/>
      <c r="FQS32" s="58"/>
      <c r="FQT32" s="58"/>
      <c r="FQU32" s="59"/>
      <c r="FQV32" s="60"/>
      <c r="FQW32" s="54"/>
      <c r="FQX32" s="54"/>
      <c r="FQY32" s="36"/>
      <c r="FQZ32" s="55"/>
      <c r="FRA32" s="54"/>
      <c r="FRB32" s="56"/>
      <c r="FRC32" s="57"/>
      <c r="FRD32" s="54"/>
      <c r="FRE32" s="54"/>
      <c r="FRF32" s="54"/>
      <c r="FRG32" s="58"/>
      <c r="FRH32" s="58"/>
      <c r="FRI32" s="58"/>
      <c r="FRJ32" s="58"/>
      <c r="FRK32" s="59"/>
      <c r="FRL32" s="60"/>
      <c r="FRM32" s="54"/>
      <c r="FRN32" s="54"/>
      <c r="FRO32" s="36"/>
      <c r="FRP32" s="55"/>
      <c r="FRQ32" s="54"/>
      <c r="FRR32" s="56"/>
      <c r="FRS32" s="57"/>
      <c r="FRT32" s="54"/>
      <c r="FRU32" s="54"/>
      <c r="FRV32" s="54"/>
      <c r="FRW32" s="58"/>
      <c r="FRX32" s="58"/>
      <c r="FRY32" s="58"/>
      <c r="FRZ32" s="58"/>
      <c r="FSA32" s="59"/>
      <c r="FSB32" s="60"/>
      <c r="FSC32" s="54"/>
      <c r="FSD32" s="54"/>
      <c r="FSE32" s="36"/>
      <c r="FSF32" s="55"/>
      <c r="FSG32" s="54"/>
      <c r="FSH32" s="56"/>
      <c r="FSI32" s="57"/>
      <c r="FSJ32" s="54"/>
      <c r="FSK32" s="54"/>
      <c r="FSL32" s="54"/>
      <c r="FSM32" s="58"/>
      <c r="FSN32" s="58"/>
      <c r="FSO32" s="58"/>
      <c r="FSP32" s="58"/>
      <c r="FSQ32" s="59"/>
      <c r="FSR32" s="60"/>
      <c r="FSS32" s="54"/>
      <c r="FST32" s="54"/>
      <c r="FSU32" s="36"/>
      <c r="FSV32" s="55"/>
      <c r="FSW32" s="54"/>
      <c r="FSX32" s="56"/>
      <c r="FSY32" s="57"/>
      <c r="FSZ32" s="54"/>
      <c r="FTA32" s="54"/>
      <c r="FTB32" s="54"/>
      <c r="FTC32" s="58"/>
      <c r="FTD32" s="58"/>
      <c r="FTE32" s="58"/>
      <c r="FTF32" s="58"/>
      <c r="FTG32" s="59"/>
      <c r="FTH32" s="60"/>
      <c r="FTI32" s="54"/>
      <c r="FTJ32" s="54"/>
      <c r="FTK32" s="36"/>
      <c r="FTL32" s="55"/>
      <c r="FTM32" s="54"/>
      <c r="FTN32" s="56"/>
      <c r="FTO32" s="57"/>
      <c r="FTP32" s="54"/>
      <c r="FTQ32" s="54"/>
      <c r="FTR32" s="54"/>
      <c r="FTS32" s="58"/>
      <c r="FTT32" s="58"/>
      <c r="FTU32" s="58"/>
      <c r="FTV32" s="58"/>
      <c r="FTW32" s="59"/>
      <c r="FTX32" s="60"/>
      <c r="FTY32" s="54"/>
      <c r="FTZ32" s="54"/>
      <c r="FUA32" s="36"/>
      <c r="FUB32" s="55"/>
      <c r="FUC32" s="54"/>
      <c r="FUD32" s="56"/>
      <c r="FUE32" s="57"/>
      <c r="FUF32" s="54"/>
      <c r="FUG32" s="54"/>
      <c r="FUH32" s="54"/>
      <c r="FUI32" s="58"/>
      <c r="FUJ32" s="58"/>
      <c r="FUK32" s="58"/>
      <c r="FUL32" s="58"/>
      <c r="FUM32" s="59"/>
      <c r="FUN32" s="60"/>
      <c r="FUO32" s="54"/>
      <c r="FUP32" s="54"/>
      <c r="FUQ32" s="36"/>
      <c r="FUR32" s="55"/>
      <c r="FUS32" s="54"/>
      <c r="FUT32" s="56"/>
      <c r="FUU32" s="57"/>
      <c r="FUV32" s="54"/>
      <c r="FUW32" s="54"/>
      <c r="FUX32" s="54"/>
      <c r="FUY32" s="58"/>
      <c r="FUZ32" s="58"/>
      <c r="FVA32" s="58"/>
      <c r="FVB32" s="58"/>
      <c r="FVC32" s="59"/>
      <c r="FVD32" s="60"/>
      <c r="FVE32" s="54"/>
      <c r="FVF32" s="54"/>
      <c r="FVG32" s="36"/>
      <c r="FVH32" s="55"/>
      <c r="FVI32" s="54"/>
      <c r="FVJ32" s="56"/>
      <c r="FVK32" s="57"/>
      <c r="FVL32" s="54"/>
      <c r="FVM32" s="54"/>
      <c r="FVN32" s="54"/>
      <c r="FVO32" s="58"/>
      <c r="FVP32" s="58"/>
      <c r="FVQ32" s="58"/>
      <c r="FVR32" s="58"/>
      <c r="FVS32" s="59"/>
      <c r="FVT32" s="60"/>
      <c r="FVU32" s="54"/>
      <c r="FVV32" s="54"/>
      <c r="FVW32" s="36"/>
      <c r="FVX32" s="55"/>
      <c r="FVY32" s="54"/>
      <c r="FVZ32" s="56"/>
      <c r="FWA32" s="57"/>
      <c r="FWB32" s="54"/>
      <c r="FWC32" s="54"/>
      <c r="FWD32" s="54"/>
      <c r="FWE32" s="58"/>
      <c r="FWF32" s="58"/>
      <c r="FWG32" s="58"/>
      <c r="FWH32" s="58"/>
      <c r="FWI32" s="59"/>
      <c r="FWJ32" s="60"/>
      <c r="FWK32" s="54"/>
      <c r="FWL32" s="54"/>
      <c r="FWM32" s="36"/>
      <c r="FWN32" s="55"/>
      <c r="FWO32" s="54"/>
      <c r="FWP32" s="56"/>
      <c r="FWQ32" s="57"/>
      <c r="FWR32" s="54"/>
      <c r="FWS32" s="54"/>
      <c r="FWT32" s="54"/>
      <c r="FWU32" s="58"/>
      <c r="FWV32" s="58"/>
      <c r="FWW32" s="58"/>
      <c r="FWX32" s="58"/>
      <c r="FWY32" s="59"/>
      <c r="FWZ32" s="60"/>
      <c r="FXA32" s="54"/>
      <c r="FXB32" s="54"/>
      <c r="FXC32" s="36"/>
      <c r="FXD32" s="55"/>
      <c r="FXE32" s="54"/>
      <c r="FXF32" s="56"/>
      <c r="FXG32" s="57"/>
      <c r="FXH32" s="54"/>
      <c r="FXI32" s="54"/>
      <c r="FXJ32" s="54"/>
      <c r="FXK32" s="58"/>
      <c r="FXL32" s="58"/>
      <c r="FXM32" s="58"/>
      <c r="FXN32" s="58"/>
      <c r="FXO32" s="59"/>
      <c r="FXP32" s="60"/>
      <c r="FXQ32" s="54"/>
      <c r="FXR32" s="54"/>
      <c r="FXS32" s="36"/>
      <c r="FXT32" s="55"/>
      <c r="FXU32" s="54"/>
      <c r="FXV32" s="56"/>
      <c r="FXW32" s="57"/>
      <c r="FXX32" s="54"/>
      <c r="FXY32" s="54"/>
      <c r="FXZ32" s="54"/>
      <c r="FYA32" s="58"/>
      <c r="FYB32" s="58"/>
      <c r="FYC32" s="58"/>
      <c r="FYD32" s="58"/>
      <c r="FYE32" s="59"/>
      <c r="FYF32" s="60"/>
      <c r="FYG32" s="54"/>
      <c r="FYH32" s="54"/>
      <c r="FYI32" s="36"/>
      <c r="FYJ32" s="55"/>
      <c r="FYK32" s="54"/>
      <c r="FYL32" s="56"/>
      <c r="FYM32" s="57"/>
      <c r="FYN32" s="54"/>
      <c r="FYO32" s="54"/>
      <c r="FYP32" s="54"/>
      <c r="FYQ32" s="58"/>
      <c r="FYR32" s="58"/>
      <c r="FYS32" s="58"/>
      <c r="FYT32" s="58"/>
      <c r="FYU32" s="59"/>
      <c r="FYV32" s="60"/>
      <c r="FYW32" s="54"/>
      <c r="FYX32" s="54"/>
      <c r="FYY32" s="36"/>
      <c r="FYZ32" s="55"/>
      <c r="FZA32" s="54"/>
      <c r="FZB32" s="56"/>
      <c r="FZC32" s="57"/>
      <c r="FZD32" s="54"/>
      <c r="FZE32" s="54"/>
      <c r="FZF32" s="54"/>
      <c r="FZG32" s="58"/>
      <c r="FZH32" s="58"/>
      <c r="FZI32" s="58"/>
      <c r="FZJ32" s="58"/>
      <c r="FZK32" s="59"/>
      <c r="FZL32" s="60"/>
      <c r="FZM32" s="54"/>
      <c r="FZN32" s="54"/>
      <c r="FZO32" s="36"/>
      <c r="FZP32" s="55"/>
      <c r="FZQ32" s="54"/>
      <c r="FZR32" s="56"/>
      <c r="FZS32" s="57"/>
      <c r="FZT32" s="54"/>
      <c r="FZU32" s="54"/>
      <c r="FZV32" s="54"/>
      <c r="FZW32" s="58"/>
      <c r="FZX32" s="58"/>
      <c r="FZY32" s="58"/>
      <c r="FZZ32" s="58"/>
      <c r="GAA32" s="59"/>
      <c r="GAB32" s="60"/>
      <c r="GAC32" s="54"/>
      <c r="GAD32" s="54"/>
      <c r="GAE32" s="36"/>
      <c r="GAF32" s="55"/>
      <c r="GAG32" s="54"/>
      <c r="GAH32" s="56"/>
      <c r="GAI32" s="57"/>
      <c r="GAJ32" s="54"/>
      <c r="GAK32" s="54"/>
      <c r="GAL32" s="54"/>
      <c r="GAM32" s="58"/>
      <c r="GAN32" s="58"/>
      <c r="GAO32" s="58"/>
      <c r="GAP32" s="58"/>
      <c r="GAQ32" s="59"/>
      <c r="GAR32" s="60"/>
      <c r="GAS32" s="54"/>
      <c r="GAT32" s="54"/>
      <c r="GAU32" s="36"/>
      <c r="GAV32" s="55"/>
      <c r="GAW32" s="54"/>
      <c r="GAX32" s="56"/>
      <c r="GAY32" s="57"/>
      <c r="GAZ32" s="54"/>
      <c r="GBA32" s="54"/>
      <c r="GBB32" s="54"/>
      <c r="GBC32" s="58"/>
      <c r="GBD32" s="58"/>
      <c r="GBE32" s="58"/>
      <c r="GBF32" s="58"/>
      <c r="GBG32" s="59"/>
      <c r="GBH32" s="60"/>
      <c r="GBI32" s="54"/>
      <c r="GBJ32" s="54"/>
      <c r="GBK32" s="36"/>
      <c r="GBL32" s="55"/>
      <c r="GBM32" s="54"/>
      <c r="GBN32" s="56"/>
      <c r="GBO32" s="57"/>
      <c r="GBP32" s="54"/>
      <c r="GBQ32" s="54"/>
      <c r="GBR32" s="54"/>
      <c r="GBS32" s="58"/>
      <c r="GBT32" s="58"/>
      <c r="GBU32" s="58"/>
      <c r="GBV32" s="58"/>
      <c r="GBW32" s="59"/>
      <c r="GBX32" s="60"/>
      <c r="GBY32" s="54"/>
      <c r="GBZ32" s="54"/>
      <c r="GCA32" s="36"/>
      <c r="GCB32" s="55"/>
      <c r="GCC32" s="54"/>
      <c r="GCD32" s="56"/>
      <c r="GCE32" s="57"/>
      <c r="GCF32" s="54"/>
      <c r="GCG32" s="54"/>
      <c r="GCH32" s="54"/>
      <c r="GCI32" s="58"/>
      <c r="GCJ32" s="58"/>
      <c r="GCK32" s="58"/>
      <c r="GCL32" s="58"/>
      <c r="GCM32" s="59"/>
      <c r="GCN32" s="60"/>
      <c r="GCO32" s="54"/>
      <c r="GCP32" s="54"/>
      <c r="GCQ32" s="36"/>
      <c r="GCR32" s="55"/>
      <c r="GCS32" s="54"/>
      <c r="GCT32" s="56"/>
      <c r="GCU32" s="57"/>
      <c r="GCV32" s="54"/>
      <c r="GCW32" s="54"/>
      <c r="GCX32" s="54"/>
      <c r="GCY32" s="58"/>
      <c r="GCZ32" s="58"/>
      <c r="GDA32" s="58"/>
      <c r="GDB32" s="58"/>
      <c r="GDC32" s="59"/>
      <c r="GDD32" s="60"/>
      <c r="GDE32" s="54"/>
      <c r="GDF32" s="54"/>
      <c r="GDG32" s="36"/>
      <c r="GDH32" s="55"/>
      <c r="GDI32" s="54"/>
      <c r="GDJ32" s="56"/>
      <c r="GDK32" s="57"/>
      <c r="GDL32" s="54"/>
      <c r="GDM32" s="54"/>
      <c r="GDN32" s="54"/>
      <c r="GDO32" s="58"/>
      <c r="GDP32" s="58"/>
      <c r="GDQ32" s="58"/>
      <c r="GDR32" s="58"/>
      <c r="GDS32" s="59"/>
      <c r="GDT32" s="60"/>
      <c r="GDU32" s="54"/>
      <c r="GDV32" s="54"/>
      <c r="GDW32" s="36"/>
      <c r="GDX32" s="55"/>
      <c r="GDY32" s="54"/>
      <c r="GDZ32" s="56"/>
      <c r="GEA32" s="57"/>
      <c r="GEB32" s="54"/>
      <c r="GEC32" s="54"/>
      <c r="GED32" s="54"/>
      <c r="GEE32" s="58"/>
      <c r="GEF32" s="58"/>
      <c r="GEG32" s="58"/>
      <c r="GEH32" s="58"/>
      <c r="GEI32" s="59"/>
      <c r="GEJ32" s="60"/>
      <c r="GEK32" s="54"/>
      <c r="GEL32" s="54"/>
      <c r="GEM32" s="36"/>
      <c r="GEN32" s="55"/>
      <c r="GEO32" s="54"/>
      <c r="GEP32" s="56"/>
      <c r="GEQ32" s="57"/>
      <c r="GER32" s="54"/>
      <c r="GES32" s="54"/>
      <c r="GET32" s="54"/>
      <c r="GEU32" s="58"/>
      <c r="GEV32" s="58"/>
      <c r="GEW32" s="58"/>
      <c r="GEX32" s="58"/>
      <c r="GEY32" s="59"/>
      <c r="GEZ32" s="60"/>
      <c r="GFA32" s="54"/>
      <c r="GFB32" s="54"/>
      <c r="GFC32" s="36"/>
      <c r="GFD32" s="55"/>
      <c r="GFE32" s="54"/>
      <c r="GFF32" s="56"/>
      <c r="GFG32" s="57"/>
      <c r="GFH32" s="54"/>
      <c r="GFI32" s="54"/>
      <c r="GFJ32" s="54"/>
      <c r="GFK32" s="58"/>
      <c r="GFL32" s="58"/>
      <c r="GFM32" s="58"/>
      <c r="GFN32" s="58"/>
      <c r="GFO32" s="59"/>
      <c r="GFP32" s="60"/>
      <c r="GFQ32" s="54"/>
      <c r="GFR32" s="54"/>
      <c r="GFS32" s="36"/>
      <c r="GFT32" s="55"/>
      <c r="GFU32" s="54"/>
      <c r="GFV32" s="56"/>
      <c r="GFW32" s="57"/>
      <c r="GFX32" s="54"/>
      <c r="GFY32" s="54"/>
      <c r="GFZ32" s="54"/>
      <c r="GGA32" s="58"/>
      <c r="GGB32" s="58"/>
      <c r="GGC32" s="58"/>
      <c r="GGD32" s="58"/>
      <c r="GGE32" s="59"/>
      <c r="GGF32" s="60"/>
      <c r="GGG32" s="54"/>
      <c r="GGH32" s="54"/>
      <c r="GGI32" s="36"/>
      <c r="GGJ32" s="55"/>
      <c r="GGK32" s="54"/>
      <c r="GGL32" s="56"/>
      <c r="GGM32" s="57"/>
      <c r="GGN32" s="54"/>
      <c r="GGO32" s="54"/>
      <c r="GGP32" s="54"/>
      <c r="GGQ32" s="58"/>
      <c r="GGR32" s="58"/>
      <c r="GGS32" s="58"/>
      <c r="GGT32" s="58"/>
      <c r="GGU32" s="59"/>
      <c r="GGV32" s="60"/>
      <c r="GGW32" s="54"/>
      <c r="GGX32" s="54"/>
      <c r="GGY32" s="36"/>
      <c r="GGZ32" s="55"/>
      <c r="GHA32" s="54"/>
      <c r="GHB32" s="56"/>
      <c r="GHC32" s="57"/>
      <c r="GHD32" s="54"/>
      <c r="GHE32" s="54"/>
      <c r="GHF32" s="54"/>
      <c r="GHG32" s="58"/>
      <c r="GHH32" s="58"/>
      <c r="GHI32" s="58"/>
      <c r="GHJ32" s="58"/>
      <c r="GHK32" s="59"/>
      <c r="GHL32" s="60"/>
      <c r="GHM32" s="54"/>
      <c r="GHN32" s="54"/>
      <c r="GHO32" s="36"/>
      <c r="GHP32" s="55"/>
      <c r="GHQ32" s="54"/>
      <c r="GHR32" s="56"/>
      <c r="GHS32" s="57"/>
      <c r="GHT32" s="54"/>
      <c r="GHU32" s="54"/>
      <c r="GHV32" s="54"/>
      <c r="GHW32" s="58"/>
      <c r="GHX32" s="58"/>
      <c r="GHY32" s="58"/>
      <c r="GHZ32" s="58"/>
      <c r="GIA32" s="59"/>
      <c r="GIB32" s="60"/>
      <c r="GIC32" s="54"/>
      <c r="GID32" s="54"/>
      <c r="GIE32" s="36"/>
      <c r="GIF32" s="55"/>
      <c r="GIG32" s="54"/>
      <c r="GIH32" s="56"/>
      <c r="GII32" s="57"/>
      <c r="GIJ32" s="54"/>
      <c r="GIK32" s="54"/>
      <c r="GIL32" s="54"/>
      <c r="GIM32" s="58"/>
      <c r="GIN32" s="58"/>
      <c r="GIO32" s="58"/>
      <c r="GIP32" s="58"/>
      <c r="GIQ32" s="59"/>
      <c r="GIR32" s="60"/>
      <c r="GIS32" s="54"/>
      <c r="GIT32" s="54"/>
      <c r="GIU32" s="36"/>
      <c r="GIV32" s="55"/>
      <c r="GIW32" s="54"/>
      <c r="GIX32" s="56"/>
      <c r="GIY32" s="57"/>
      <c r="GIZ32" s="54"/>
      <c r="GJA32" s="54"/>
      <c r="GJB32" s="54"/>
      <c r="GJC32" s="58"/>
      <c r="GJD32" s="58"/>
      <c r="GJE32" s="58"/>
      <c r="GJF32" s="58"/>
      <c r="GJG32" s="59"/>
      <c r="GJH32" s="60"/>
      <c r="GJI32" s="54"/>
      <c r="GJJ32" s="54"/>
      <c r="GJK32" s="36"/>
      <c r="GJL32" s="55"/>
      <c r="GJM32" s="54"/>
      <c r="GJN32" s="56"/>
      <c r="GJO32" s="57"/>
      <c r="GJP32" s="54"/>
      <c r="GJQ32" s="54"/>
      <c r="GJR32" s="54"/>
      <c r="GJS32" s="58"/>
      <c r="GJT32" s="58"/>
      <c r="GJU32" s="58"/>
      <c r="GJV32" s="58"/>
      <c r="GJW32" s="59"/>
      <c r="GJX32" s="60"/>
      <c r="GJY32" s="54"/>
      <c r="GJZ32" s="54"/>
      <c r="GKA32" s="36"/>
      <c r="GKB32" s="55"/>
      <c r="GKC32" s="54"/>
      <c r="GKD32" s="56"/>
      <c r="GKE32" s="57"/>
      <c r="GKF32" s="54"/>
      <c r="GKG32" s="54"/>
      <c r="GKH32" s="54"/>
      <c r="GKI32" s="58"/>
      <c r="GKJ32" s="58"/>
      <c r="GKK32" s="58"/>
      <c r="GKL32" s="58"/>
      <c r="GKM32" s="59"/>
      <c r="GKN32" s="60"/>
      <c r="GKO32" s="54"/>
      <c r="GKP32" s="54"/>
      <c r="GKQ32" s="36"/>
      <c r="GKR32" s="55"/>
      <c r="GKS32" s="54"/>
      <c r="GKT32" s="56"/>
      <c r="GKU32" s="57"/>
      <c r="GKV32" s="54"/>
      <c r="GKW32" s="54"/>
      <c r="GKX32" s="54"/>
      <c r="GKY32" s="58"/>
      <c r="GKZ32" s="58"/>
      <c r="GLA32" s="58"/>
      <c r="GLB32" s="58"/>
      <c r="GLC32" s="59"/>
      <c r="GLD32" s="60"/>
      <c r="GLE32" s="54"/>
      <c r="GLF32" s="54"/>
      <c r="GLG32" s="36"/>
      <c r="GLH32" s="55"/>
      <c r="GLI32" s="54"/>
      <c r="GLJ32" s="56"/>
      <c r="GLK32" s="57"/>
      <c r="GLL32" s="54"/>
      <c r="GLM32" s="54"/>
      <c r="GLN32" s="54"/>
      <c r="GLO32" s="58"/>
      <c r="GLP32" s="58"/>
      <c r="GLQ32" s="58"/>
      <c r="GLR32" s="58"/>
      <c r="GLS32" s="59"/>
      <c r="GLT32" s="60"/>
      <c r="GLU32" s="54"/>
      <c r="GLV32" s="54"/>
      <c r="GLW32" s="36"/>
      <c r="GLX32" s="55"/>
      <c r="GLY32" s="54"/>
      <c r="GLZ32" s="56"/>
      <c r="GMA32" s="57"/>
      <c r="GMB32" s="54"/>
      <c r="GMC32" s="54"/>
      <c r="GMD32" s="54"/>
      <c r="GME32" s="58"/>
      <c r="GMF32" s="58"/>
      <c r="GMG32" s="58"/>
      <c r="GMH32" s="58"/>
      <c r="GMI32" s="59"/>
      <c r="GMJ32" s="60"/>
      <c r="GMK32" s="54"/>
      <c r="GML32" s="54"/>
      <c r="GMM32" s="36"/>
      <c r="GMN32" s="55"/>
      <c r="GMO32" s="54"/>
      <c r="GMP32" s="56"/>
      <c r="GMQ32" s="57"/>
      <c r="GMR32" s="54"/>
      <c r="GMS32" s="54"/>
      <c r="GMT32" s="54"/>
      <c r="GMU32" s="58"/>
      <c r="GMV32" s="58"/>
      <c r="GMW32" s="58"/>
      <c r="GMX32" s="58"/>
      <c r="GMY32" s="59"/>
      <c r="GMZ32" s="60"/>
      <c r="GNA32" s="54"/>
      <c r="GNB32" s="54"/>
      <c r="GNC32" s="36"/>
      <c r="GND32" s="55"/>
      <c r="GNE32" s="54"/>
      <c r="GNF32" s="56"/>
      <c r="GNG32" s="57"/>
      <c r="GNH32" s="54"/>
      <c r="GNI32" s="54"/>
      <c r="GNJ32" s="54"/>
      <c r="GNK32" s="58"/>
      <c r="GNL32" s="58"/>
      <c r="GNM32" s="58"/>
      <c r="GNN32" s="58"/>
      <c r="GNO32" s="59"/>
      <c r="GNP32" s="60"/>
      <c r="GNQ32" s="54"/>
      <c r="GNR32" s="54"/>
      <c r="GNS32" s="36"/>
      <c r="GNT32" s="55"/>
      <c r="GNU32" s="54"/>
      <c r="GNV32" s="56"/>
      <c r="GNW32" s="57"/>
      <c r="GNX32" s="54"/>
      <c r="GNY32" s="54"/>
      <c r="GNZ32" s="54"/>
      <c r="GOA32" s="58"/>
      <c r="GOB32" s="58"/>
      <c r="GOC32" s="58"/>
      <c r="GOD32" s="58"/>
      <c r="GOE32" s="59"/>
      <c r="GOF32" s="60"/>
      <c r="GOG32" s="54"/>
      <c r="GOH32" s="54"/>
      <c r="GOI32" s="36"/>
      <c r="GOJ32" s="55"/>
      <c r="GOK32" s="54"/>
      <c r="GOL32" s="56"/>
      <c r="GOM32" s="57"/>
      <c r="GON32" s="54"/>
      <c r="GOO32" s="54"/>
      <c r="GOP32" s="54"/>
      <c r="GOQ32" s="58"/>
      <c r="GOR32" s="58"/>
      <c r="GOS32" s="58"/>
      <c r="GOT32" s="58"/>
      <c r="GOU32" s="59"/>
      <c r="GOV32" s="60"/>
      <c r="GOW32" s="54"/>
      <c r="GOX32" s="54"/>
      <c r="GOY32" s="36"/>
      <c r="GOZ32" s="55"/>
      <c r="GPA32" s="54"/>
      <c r="GPB32" s="56"/>
      <c r="GPC32" s="57"/>
      <c r="GPD32" s="54"/>
      <c r="GPE32" s="54"/>
      <c r="GPF32" s="54"/>
      <c r="GPG32" s="58"/>
      <c r="GPH32" s="58"/>
      <c r="GPI32" s="58"/>
      <c r="GPJ32" s="58"/>
      <c r="GPK32" s="59"/>
      <c r="GPL32" s="60"/>
      <c r="GPM32" s="54"/>
      <c r="GPN32" s="54"/>
      <c r="GPO32" s="36"/>
      <c r="GPP32" s="55"/>
      <c r="GPQ32" s="54"/>
      <c r="GPR32" s="56"/>
      <c r="GPS32" s="57"/>
      <c r="GPT32" s="54"/>
      <c r="GPU32" s="54"/>
      <c r="GPV32" s="54"/>
      <c r="GPW32" s="58"/>
      <c r="GPX32" s="58"/>
      <c r="GPY32" s="58"/>
      <c r="GPZ32" s="58"/>
      <c r="GQA32" s="59"/>
      <c r="GQB32" s="60"/>
      <c r="GQC32" s="54"/>
      <c r="GQD32" s="54"/>
      <c r="GQE32" s="36"/>
      <c r="GQF32" s="55"/>
      <c r="GQG32" s="54"/>
      <c r="GQH32" s="56"/>
      <c r="GQI32" s="57"/>
      <c r="GQJ32" s="54"/>
      <c r="GQK32" s="54"/>
      <c r="GQL32" s="54"/>
      <c r="GQM32" s="58"/>
      <c r="GQN32" s="58"/>
      <c r="GQO32" s="58"/>
      <c r="GQP32" s="58"/>
      <c r="GQQ32" s="59"/>
      <c r="GQR32" s="60"/>
      <c r="GQS32" s="54"/>
      <c r="GQT32" s="54"/>
      <c r="GQU32" s="36"/>
      <c r="GQV32" s="55"/>
      <c r="GQW32" s="54"/>
      <c r="GQX32" s="56"/>
      <c r="GQY32" s="57"/>
      <c r="GQZ32" s="54"/>
      <c r="GRA32" s="54"/>
      <c r="GRB32" s="54"/>
      <c r="GRC32" s="58"/>
      <c r="GRD32" s="58"/>
      <c r="GRE32" s="58"/>
      <c r="GRF32" s="58"/>
      <c r="GRG32" s="59"/>
      <c r="GRH32" s="60"/>
      <c r="GRI32" s="54"/>
      <c r="GRJ32" s="54"/>
      <c r="GRK32" s="36"/>
      <c r="GRL32" s="55"/>
      <c r="GRM32" s="54"/>
      <c r="GRN32" s="56"/>
      <c r="GRO32" s="57"/>
      <c r="GRP32" s="54"/>
      <c r="GRQ32" s="54"/>
      <c r="GRR32" s="54"/>
      <c r="GRS32" s="58"/>
      <c r="GRT32" s="58"/>
      <c r="GRU32" s="58"/>
      <c r="GRV32" s="58"/>
      <c r="GRW32" s="59"/>
      <c r="GRX32" s="60"/>
      <c r="GRY32" s="54"/>
      <c r="GRZ32" s="54"/>
      <c r="GSA32" s="36"/>
      <c r="GSB32" s="55"/>
      <c r="GSC32" s="54"/>
      <c r="GSD32" s="56"/>
      <c r="GSE32" s="57"/>
      <c r="GSF32" s="54"/>
      <c r="GSG32" s="54"/>
      <c r="GSH32" s="54"/>
      <c r="GSI32" s="58"/>
      <c r="GSJ32" s="58"/>
      <c r="GSK32" s="58"/>
      <c r="GSL32" s="58"/>
      <c r="GSM32" s="59"/>
      <c r="GSN32" s="60"/>
      <c r="GSO32" s="54"/>
      <c r="GSP32" s="54"/>
      <c r="GSQ32" s="36"/>
      <c r="GSR32" s="55"/>
      <c r="GSS32" s="54"/>
      <c r="GST32" s="56"/>
      <c r="GSU32" s="57"/>
      <c r="GSV32" s="54"/>
      <c r="GSW32" s="54"/>
      <c r="GSX32" s="54"/>
      <c r="GSY32" s="58"/>
      <c r="GSZ32" s="58"/>
      <c r="GTA32" s="58"/>
      <c r="GTB32" s="58"/>
      <c r="GTC32" s="59"/>
      <c r="GTD32" s="60"/>
      <c r="GTE32" s="54"/>
      <c r="GTF32" s="54"/>
      <c r="GTG32" s="36"/>
      <c r="GTH32" s="55"/>
      <c r="GTI32" s="54"/>
      <c r="GTJ32" s="56"/>
      <c r="GTK32" s="57"/>
      <c r="GTL32" s="54"/>
      <c r="GTM32" s="54"/>
      <c r="GTN32" s="54"/>
      <c r="GTO32" s="58"/>
      <c r="GTP32" s="58"/>
      <c r="GTQ32" s="58"/>
      <c r="GTR32" s="58"/>
      <c r="GTS32" s="59"/>
      <c r="GTT32" s="60"/>
      <c r="GTU32" s="54"/>
      <c r="GTV32" s="54"/>
      <c r="GTW32" s="36"/>
      <c r="GTX32" s="55"/>
      <c r="GTY32" s="54"/>
      <c r="GTZ32" s="56"/>
      <c r="GUA32" s="57"/>
      <c r="GUB32" s="54"/>
      <c r="GUC32" s="54"/>
      <c r="GUD32" s="54"/>
      <c r="GUE32" s="58"/>
      <c r="GUF32" s="58"/>
      <c r="GUG32" s="58"/>
      <c r="GUH32" s="58"/>
      <c r="GUI32" s="59"/>
      <c r="GUJ32" s="60"/>
      <c r="GUK32" s="54"/>
      <c r="GUL32" s="54"/>
      <c r="GUM32" s="36"/>
      <c r="GUN32" s="55"/>
      <c r="GUO32" s="54"/>
      <c r="GUP32" s="56"/>
      <c r="GUQ32" s="57"/>
      <c r="GUR32" s="54"/>
      <c r="GUS32" s="54"/>
      <c r="GUT32" s="54"/>
      <c r="GUU32" s="58"/>
      <c r="GUV32" s="58"/>
      <c r="GUW32" s="58"/>
      <c r="GUX32" s="58"/>
      <c r="GUY32" s="59"/>
      <c r="GUZ32" s="60"/>
      <c r="GVA32" s="54"/>
      <c r="GVB32" s="54"/>
      <c r="GVC32" s="36"/>
      <c r="GVD32" s="55"/>
      <c r="GVE32" s="54"/>
      <c r="GVF32" s="56"/>
      <c r="GVG32" s="57"/>
      <c r="GVH32" s="54"/>
      <c r="GVI32" s="54"/>
      <c r="GVJ32" s="54"/>
      <c r="GVK32" s="58"/>
      <c r="GVL32" s="58"/>
      <c r="GVM32" s="58"/>
      <c r="GVN32" s="58"/>
      <c r="GVO32" s="59"/>
      <c r="GVP32" s="60"/>
      <c r="GVQ32" s="54"/>
      <c r="GVR32" s="54"/>
      <c r="GVS32" s="36"/>
      <c r="GVT32" s="55"/>
      <c r="GVU32" s="54"/>
      <c r="GVV32" s="56"/>
      <c r="GVW32" s="57"/>
      <c r="GVX32" s="54"/>
      <c r="GVY32" s="54"/>
      <c r="GVZ32" s="54"/>
      <c r="GWA32" s="58"/>
      <c r="GWB32" s="58"/>
      <c r="GWC32" s="58"/>
      <c r="GWD32" s="58"/>
      <c r="GWE32" s="59"/>
      <c r="GWF32" s="60"/>
      <c r="GWG32" s="54"/>
      <c r="GWH32" s="54"/>
      <c r="GWI32" s="36"/>
      <c r="GWJ32" s="55"/>
      <c r="GWK32" s="54"/>
      <c r="GWL32" s="56"/>
      <c r="GWM32" s="57"/>
      <c r="GWN32" s="54"/>
      <c r="GWO32" s="54"/>
      <c r="GWP32" s="54"/>
      <c r="GWQ32" s="58"/>
      <c r="GWR32" s="58"/>
      <c r="GWS32" s="58"/>
      <c r="GWT32" s="58"/>
      <c r="GWU32" s="59"/>
      <c r="GWV32" s="60"/>
      <c r="GWW32" s="54"/>
      <c r="GWX32" s="54"/>
      <c r="GWY32" s="36"/>
      <c r="GWZ32" s="55"/>
      <c r="GXA32" s="54"/>
      <c r="GXB32" s="56"/>
      <c r="GXC32" s="57"/>
      <c r="GXD32" s="54"/>
      <c r="GXE32" s="54"/>
      <c r="GXF32" s="54"/>
      <c r="GXG32" s="58"/>
      <c r="GXH32" s="58"/>
      <c r="GXI32" s="58"/>
      <c r="GXJ32" s="58"/>
      <c r="GXK32" s="59"/>
      <c r="GXL32" s="60"/>
      <c r="GXM32" s="54"/>
      <c r="GXN32" s="54"/>
      <c r="GXO32" s="36"/>
      <c r="GXP32" s="55"/>
      <c r="GXQ32" s="54"/>
      <c r="GXR32" s="56"/>
      <c r="GXS32" s="57"/>
      <c r="GXT32" s="54"/>
      <c r="GXU32" s="54"/>
      <c r="GXV32" s="54"/>
      <c r="GXW32" s="58"/>
      <c r="GXX32" s="58"/>
      <c r="GXY32" s="58"/>
      <c r="GXZ32" s="58"/>
      <c r="GYA32" s="59"/>
      <c r="GYB32" s="60"/>
      <c r="GYC32" s="54"/>
      <c r="GYD32" s="54"/>
      <c r="GYE32" s="36"/>
      <c r="GYF32" s="55"/>
      <c r="GYG32" s="54"/>
      <c r="GYH32" s="56"/>
      <c r="GYI32" s="57"/>
      <c r="GYJ32" s="54"/>
      <c r="GYK32" s="54"/>
      <c r="GYL32" s="54"/>
      <c r="GYM32" s="58"/>
      <c r="GYN32" s="58"/>
      <c r="GYO32" s="58"/>
      <c r="GYP32" s="58"/>
      <c r="GYQ32" s="59"/>
      <c r="GYR32" s="60"/>
      <c r="GYS32" s="54"/>
      <c r="GYT32" s="54"/>
      <c r="GYU32" s="36"/>
      <c r="GYV32" s="55"/>
      <c r="GYW32" s="54"/>
      <c r="GYX32" s="56"/>
      <c r="GYY32" s="57"/>
      <c r="GYZ32" s="54"/>
      <c r="GZA32" s="54"/>
      <c r="GZB32" s="54"/>
      <c r="GZC32" s="58"/>
      <c r="GZD32" s="58"/>
      <c r="GZE32" s="58"/>
      <c r="GZF32" s="58"/>
      <c r="GZG32" s="59"/>
      <c r="GZH32" s="60"/>
      <c r="GZI32" s="54"/>
      <c r="GZJ32" s="54"/>
      <c r="GZK32" s="36"/>
      <c r="GZL32" s="55"/>
      <c r="GZM32" s="54"/>
      <c r="GZN32" s="56"/>
      <c r="GZO32" s="57"/>
      <c r="GZP32" s="54"/>
      <c r="GZQ32" s="54"/>
      <c r="GZR32" s="54"/>
      <c r="GZS32" s="58"/>
      <c r="GZT32" s="58"/>
      <c r="GZU32" s="58"/>
      <c r="GZV32" s="58"/>
      <c r="GZW32" s="59"/>
      <c r="GZX32" s="60"/>
      <c r="GZY32" s="54"/>
      <c r="GZZ32" s="54"/>
      <c r="HAA32" s="36"/>
      <c r="HAB32" s="55"/>
      <c r="HAC32" s="54"/>
      <c r="HAD32" s="56"/>
      <c r="HAE32" s="57"/>
      <c r="HAF32" s="54"/>
      <c r="HAG32" s="54"/>
      <c r="HAH32" s="54"/>
      <c r="HAI32" s="58"/>
      <c r="HAJ32" s="58"/>
      <c r="HAK32" s="58"/>
      <c r="HAL32" s="58"/>
      <c r="HAM32" s="59"/>
      <c r="HAN32" s="60"/>
      <c r="HAO32" s="54"/>
      <c r="HAP32" s="54"/>
      <c r="HAQ32" s="36"/>
      <c r="HAR32" s="55"/>
      <c r="HAS32" s="54"/>
      <c r="HAT32" s="56"/>
      <c r="HAU32" s="57"/>
      <c r="HAV32" s="54"/>
      <c r="HAW32" s="54"/>
      <c r="HAX32" s="54"/>
      <c r="HAY32" s="58"/>
      <c r="HAZ32" s="58"/>
      <c r="HBA32" s="58"/>
      <c r="HBB32" s="58"/>
      <c r="HBC32" s="59"/>
      <c r="HBD32" s="60"/>
      <c r="HBE32" s="54"/>
      <c r="HBF32" s="54"/>
      <c r="HBG32" s="36"/>
      <c r="HBH32" s="55"/>
      <c r="HBI32" s="54"/>
      <c r="HBJ32" s="56"/>
      <c r="HBK32" s="57"/>
      <c r="HBL32" s="54"/>
      <c r="HBM32" s="54"/>
      <c r="HBN32" s="54"/>
      <c r="HBO32" s="58"/>
      <c r="HBP32" s="58"/>
      <c r="HBQ32" s="58"/>
      <c r="HBR32" s="58"/>
      <c r="HBS32" s="59"/>
      <c r="HBT32" s="60"/>
      <c r="HBU32" s="54"/>
      <c r="HBV32" s="54"/>
      <c r="HBW32" s="36"/>
      <c r="HBX32" s="55"/>
      <c r="HBY32" s="54"/>
      <c r="HBZ32" s="56"/>
      <c r="HCA32" s="57"/>
      <c r="HCB32" s="54"/>
      <c r="HCC32" s="54"/>
      <c r="HCD32" s="54"/>
      <c r="HCE32" s="58"/>
      <c r="HCF32" s="58"/>
      <c r="HCG32" s="58"/>
      <c r="HCH32" s="58"/>
      <c r="HCI32" s="59"/>
      <c r="HCJ32" s="60"/>
      <c r="HCK32" s="54"/>
      <c r="HCL32" s="54"/>
      <c r="HCM32" s="36"/>
      <c r="HCN32" s="55"/>
      <c r="HCO32" s="54"/>
      <c r="HCP32" s="56"/>
      <c r="HCQ32" s="57"/>
      <c r="HCR32" s="54"/>
      <c r="HCS32" s="54"/>
      <c r="HCT32" s="54"/>
      <c r="HCU32" s="58"/>
      <c r="HCV32" s="58"/>
      <c r="HCW32" s="58"/>
      <c r="HCX32" s="58"/>
      <c r="HCY32" s="59"/>
      <c r="HCZ32" s="60"/>
      <c r="HDA32" s="54"/>
      <c r="HDB32" s="54"/>
      <c r="HDC32" s="36"/>
      <c r="HDD32" s="55"/>
      <c r="HDE32" s="54"/>
      <c r="HDF32" s="56"/>
      <c r="HDG32" s="57"/>
      <c r="HDH32" s="54"/>
      <c r="HDI32" s="54"/>
      <c r="HDJ32" s="54"/>
      <c r="HDK32" s="58"/>
      <c r="HDL32" s="58"/>
      <c r="HDM32" s="58"/>
      <c r="HDN32" s="58"/>
      <c r="HDO32" s="59"/>
      <c r="HDP32" s="60"/>
      <c r="HDQ32" s="54"/>
      <c r="HDR32" s="54"/>
      <c r="HDS32" s="36"/>
      <c r="HDT32" s="55"/>
      <c r="HDU32" s="54"/>
      <c r="HDV32" s="56"/>
      <c r="HDW32" s="57"/>
      <c r="HDX32" s="54"/>
      <c r="HDY32" s="54"/>
      <c r="HDZ32" s="54"/>
      <c r="HEA32" s="58"/>
      <c r="HEB32" s="58"/>
      <c r="HEC32" s="58"/>
      <c r="HED32" s="58"/>
      <c r="HEE32" s="59"/>
      <c r="HEF32" s="60"/>
      <c r="HEG32" s="54"/>
      <c r="HEH32" s="54"/>
      <c r="HEI32" s="36"/>
      <c r="HEJ32" s="55"/>
      <c r="HEK32" s="54"/>
      <c r="HEL32" s="56"/>
      <c r="HEM32" s="57"/>
      <c r="HEN32" s="54"/>
      <c r="HEO32" s="54"/>
      <c r="HEP32" s="54"/>
      <c r="HEQ32" s="58"/>
      <c r="HER32" s="58"/>
      <c r="HES32" s="58"/>
      <c r="HET32" s="58"/>
      <c r="HEU32" s="59"/>
      <c r="HEV32" s="60"/>
      <c r="HEW32" s="54"/>
      <c r="HEX32" s="54"/>
      <c r="HEY32" s="36"/>
      <c r="HEZ32" s="55"/>
      <c r="HFA32" s="54"/>
      <c r="HFB32" s="56"/>
      <c r="HFC32" s="57"/>
      <c r="HFD32" s="54"/>
      <c r="HFE32" s="54"/>
      <c r="HFF32" s="54"/>
      <c r="HFG32" s="58"/>
      <c r="HFH32" s="58"/>
      <c r="HFI32" s="58"/>
      <c r="HFJ32" s="58"/>
      <c r="HFK32" s="59"/>
      <c r="HFL32" s="60"/>
      <c r="HFM32" s="54"/>
      <c r="HFN32" s="54"/>
      <c r="HFO32" s="36"/>
      <c r="HFP32" s="55"/>
      <c r="HFQ32" s="54"/>
      <c r="HFR32" s="56"/>
      <c r="HFS32" s="57"/>
      <c r="HFT32" s="54"/>
      <c r="HFU32" s="54"/>
      <c r="HFV32" s="54"/>
      <c r="HFW32" s="58"/>
      <c r="HFX32" s="58"/>
      <c r="HFY32" s="58"/>
      <c r="HFZ32" s="58"/>
      <c r="HGA32" s="59"/>
      <c r="HGB32" s="60"/>
      <c r="HGC32" s="54"/>
      <c r="HGD32" s="54"/>
      <c r="HGE32" s="36"/>
      <c r="HGF32" s="55"/>
      <c r="HGG32" s="54"/>
      <c r="HGH32" s="56"/>
      <c r="HGI32" s="57"/>
      <c r="HGJ32" s="54"/>
      <c r="HGK32" s="54"/>
      <c r="HGL32" s="54"/>
      <c r="HGM32" s="58"/>
      <c r="HGN32" s="58"/>
      <c r="HGO32" s="58"/>
      <c r="HGP32" s="58"/>
      <c r="HGQ32" s="59"/>
      <c r="HGR32" s="60"/>
      <c r="HGS32" s="54"/>
      <c r="HGT32" s="54"/>
      <c r="HGU32" s="36"/>
      <c r="HGV32" s="55"/>
      <c r="HGW32" s="54"/>
      <c r="HGX32" s="56"/>
      <c r="HGY32" s="57"/>
      <c r="HGZ32" s="54"/>
      <c r="HHA32" s="54"/>
      <c r="HHB32" s="54"/>
      <c r="HHC32" s="58"/>
      <c r="HHD32" s="58"/>
      <c r="HHE32" s="58"/>
      <c r="HHF32" s="58"/>
      <c r="HHG32" s="59"/>
      <c r="HHH32" s="60"/>
      <c r="HHI32" s="54"/>
      <c r="HHJ32" s="54"/>
      <c r="HHK32" s="36"/>
      <c r="HHL32" s="55"/>
      <c r="HHM32" s="54"/>
      <c r="HHN32" s="56"/>
      <c r="HHO32" s="57"/>
      <c r="HHP32" s="54"/>
      <c r="HHQ32" s="54"/>
      <c r="HHR32" s="54"/>
      <c r="HHS32" s="58"/>
      <c r="HHT32" s="58"/>
      <c r="HHU32" s="58"/>
      <c r="HHV32" s="58"/>
      <c r="HHW32" s="59"/>
      <c r="HHX32" s="60"/>
      <c r="HHY32" s="54"/>
      <c r="HHZ32" s="54"/>
      <c r="HIA32" s="36"/>
      <c r="HIB32" s="55"/>
      <c r="HIC32" s="54"/>
      <c r="HID32" s="56"/>
      <c r="HIE32" s="57"/>
      <c r="HIF32" s="54"/>
      <c r="HIG32" s="54"/>
      <c r="HIH32" s="54"/>
      <c r="HII32" s="58"/>
      <c r="HIJ32" s="58"/>
      <c r="HIK32" s="58"/>
      <c r="HIL32" s="58"/>
      <c r="HIM32" s="59"/>
      <c r="HIN32" s="60"/>
      <c r="HIO32" s="54"/>
      <c r="HIP32" s="54"/>
      <c r="HIQ32" s="36"/>
      <c r="HIR32" s="55"/>
      <c r="HIS32" s="54"/>
      <c r="HIT32" s="56"/>
      <c r="HIU32" s="57"/>
      <c r="HIV32" s="54"/>
      <c r="HIW32" s="54"/>
      <c r="HIX32" s="54"/>
      <c r="HIY32" s="58"/>
      <c r="HIZ32" s="58"/>
      <c r="HJA32" s="58"/>
      <c r="HJB32" s="58"/>
      <c r="HJC32" s="59"/>
      <c r="HJD32" s="60"/>
      <c r="HJE32" s="54"/>
      <c r="HJF32" s="54"/>
      <c r="HJG32" s="36"/>
      <c r="HJH32" s="55"/>
      <c r="HJI32" s="54"/>
      <c r="HJJ32" s="56"/>
      <c r="HJK32" s="57"/>
      <c r="HJL32" s="54"/>
      <c r="HJM32" s="54"/>
      <c r="HJN32" s="54"/>
      <c r="HJO32" s="58"/>
      <c r="HJP32" s="58"/>
      <c r="HJQ32" s="58"/>
      <c r="HJR32" s="58"/>
      <c r="HJS32" s="59"/>
      <c r="HJT32" s="60"/>
      <c r="HJU32" s="54"/>
      <c r="HJV32" s="54"/>
      <c r="HJW32" s="36"/>
      <c r="HJX32" s="55"/>
      <c r="HJY32" s="54"/>
      <c r="HJZ32" s="56"/>
      <c r="HKA32" s="57"/>
      <c r="HKB32" s="54"/>
      <c r="HKC32" s="54"/>
      <c r="HKD32" s="54"/>
      <c r="HKE32" s="58"/>
      <c r="HKF32" s="58"/>
      <c r="HKG32" s="58"/>
      <c r="HKH32" s="58"/>
      <c r="HKI32" s="59"/>
      <c r="HKJ32" s="60"/>
      <c r="HKK32" s="54"/>
      <c r="HKL32" s="54"/>
      <c r="HKM32" s="36"/>
      <c r="HKN32" s="55"/>
      <c r="HKO32" s="54"/>
      <c r="HKP32" s="56"/>
      <c r="HKQ32" s="57"/>
      <c r="HKR32" s="54"/>
      <c r="HKS32" s="54"/>
      <c r="HKT32" s="54"/>
      <c r="HKU32" s="58"/>
      <c r="HKV32" s="58"/>
      <c r="HKW32" s="58"/>
      <c r="HKX32" s="58"/>
      <c r="HKY32" s="59"/>
      <c r="HKZ32" s="60"/>
      <c r="HLA32" s="54"/>
      <c r="HLB32" s="54"/>
      <c r="HLC32" s="36"/>
      <c r="HLD32" s="55"/>
      <c r="HLE32" s="54"/>
      <c r="HLF32" s="56"/>
      <c r="HLG32" s="57"/>
      <c r="HLH32" s="54"/>
      <c r="HLI32" s="54"/>
      <c r="HLJ32" s="54"/>
      <c r="HLK32" s="58"/>
      <c r="HLL32" s="58"/>
      <c r="HLM32" s="58"/>
      <c r="HLN32" s="58"/>
      <c r="HLO32" s="59"/>
      <c r="HLP32" s="60"/>
      <c r="HLQ32" s="54"/>
      <c r="HLR32" s="54"/>
      <c r="HLS32" s="36"/>
      <c r="HLT32" s="55"/>
      <c r="HLU32" s="54"/>
      <c r="HLV32" s="56"/>
      <c r="HLW32" s="57"/>
      <c r="HLX32" s="54"/>
      <c r="HLY32" s="54"/>
      <c r="HLZ32" s="54"/>
      <c r="HMA32" s="58"/>
      <c r="HMB32" s="58"/>
      <c r="HMC32" s="58"/>
      <c r="HMD32" s="58"/>
      <c r="HME32" s="59"/>
      <c r="HMF32" s="60"/>
      <c r="HMG32" s="54"/>
      <c r="HMH32" s="54"/>
      <c r="HMI32" s="36"/>
      <c r="HMJ32" s="55"/>
      <c r="HMK32" s="54"/>
      <c r="HML32" s="56"/>
      <c r="HMM32" s="57"/>
      <c r="HMN32" s="54"/>
      <c r="HMO32" s="54"/>
      <c r="HMP32" s="54"/>
      <c r="HMQ32" s="58"/>
      <c r="HMR32" s="58"/>
      <c r="HMS32" s="58"/>
      <c r="HMT32" s="58"/>
      <c r="HMU32" s="59"/>
      <c r="HMV32" s="60"/>
      <c r="HMW32" s="54"/>
      <c r="HMX32" s="54"/>
      <c r="HMY32" s="36"/>
      <c r="HMZ32" s="55"/>
      <c r="HNA32" s="54"/>
      <c r="HNB32" s="56"/>
      <c r="HNC32" s="57"/>
      <c r="HND32" s="54"/>
      <c r="HNE32" s="54"/>
      <c r="HNF32" s="54"/>
      <c r="HNG32" s="58"/>
      <c r="HNH32" s="58"/>
      <c r="HNI32" s="58"/>
      <c r="HNJ32" s="58"/>
      <c r="HNK32" s="59"/>
      <c r="HNL32" s="60"/>
      <c r="HNM32" s="54"/>
      <c r="HNN32" s="54"/>
      <c r="HNO32" s="36"/>
      <c r="HNP32" s="55"/>
      <c r="HNQ32" s="54"/>
      <c r="HNR32" s="56"/>
      <c r="HNS32" s="57"/>
      <c r="HNT32" s="54"/>
      <c r="HNU32" s="54"/>
      <c r="HNV32" s="54"/>
      <c r="HNW32" s="58"/>
      <c r="HNX32" s="58"/>
      <c r="HNY32" s="58"/>
      <c r="HNZ32" s="58"/>
      <c r="HOA32" s="59"/>
      <c r="HOB32" s="60"/>
      <c r="HOC32" s="54"/>
      <c r="HOD32" s="54"/>
      <c r="HOE32" s="36"/>
      <c r="HOF32" s="55"/>
      <c r="HOG32" s="54"/>
      <c r="HOH32" s="56"/>
      <c r="HOI32" s="57"/>
      <c r="HOJ32" s="54"/>
      <c r="HOK32" s="54"/>
      <c r="HOL32" s="54"/>
      <c r="HOM32" s="58"/>
      <c r="HON32" s="58"/>
      <c r="HOO32" s="58"/>
      <c r="HOP32" s="58"/>
      <c r="HOQ32" s="59"/>
      <c r="HOR32" s="60"/>
      <c r="HOS32" s="54"/>
      <c r="HOT32" s="54"/>
      <c r="HOU32" s="36"/>
      <c r="HOV32" s="55"/>
      <c r="HOW32" s="54"/>
      <c r="HOX32" s="56"/>
      <c r="HOY32" s="57"/>
      <c r="HOZ32" s="54"/>
      <c r="HPA32" s="54"/>
      <c r="HPB32" s="54"/>
      <c r="HPC32" s="58"/>
      <c r="HPD32" s="58"/>
      <c r="HPE32" s="58"/>
      <c r="HPF32" s="58"/>
      <c r="HPG32" s="59"/>
      <c r="HPH32" s="60"/>
      <c r="HPI32" s="54"/>
      <c r="HPJ32" s="54"/>
      <c r="HPK32" s="36"/>
      <c r="HPL32" s="55"/>
      <c r="HPM32" s="54"/>
      <c r="HPN32" s="56"/>
      <c r="HPO32" s="57"/>
      <c r="HPP32" s="54"/>
      <c r="HPQ32" s="54"/>
      <c r="HPR32" s="54"/>
      <c r="HPS32" s="58"/>
      <c r="HPT32" s="58"/>
      <c r="HPU32" s="58"/>
      <c r="HPV32" s="58"/>
      <c r="HPW32" s="59"/>
      <c r="HPX32" s="60"/>
      <c r="HPY32" s="54"/>
      <c r="HPZ32" s="54"/>
      <c r="HQA32" s="36"/>
      <c r="HQB32" s="55"/>
      <c r="HQC32" s="54"/>
      <c r="HQD32" s="56"/>
      <c r="HQE32" s="57"/>
      <c r="HQF32" s="54"/>
      <c r="HQG32" s="54"/>
      <c r="HQH32" s="54"/>
      <c r="HQI32" s="58"/>
      <c r="HQJ32" s="58"/>
      <c r="HQK32" s="58"/>
      <c r="HQL32" s="58"/>
      <c r="HQM32" s="59"/>
      <c r="HQN32" s="60"/>
      <c r="HQO32" s="54"/>
      <c r="HQP32" s="54"/>
      <c r="HQQ32" s="36"/>
      <c r="HQR32" s="55"/>
      <c r="HQS32" s="54"/>
      <c r="HQT32" s="56"/>
      <c r="HQU32" s="57"/>
      <c r="HQV32" s="54"/>
      <c r="HQW32" s="54"/>
      <c r="HQX32" s="54"/>
      <c r="HQY32" s="58"/>
      <c r="HQZ32" s="58"/>
      <c r="HRA32" s="58"/>
      <c r="HRB32" s="58"/>
      <c r="HRC32" s="59"/>
      <c r="HRD32" s="60"/>
      <c r="HRE32" s="54"/>
      <c r="HRF32" s="54"/>
      <c r="HRG32" s="36"/>
      <c r="HRH32" s="55"/>
      <c r="HRI32" s="54"/>
      <c r="HRJ32" s="56"/>
      <c r="HRK32" s="57"/>
      <c r="HRL32" s="54"/>
      <c r="HRM32" s="54"/>
      <c r="HRN32" s="54"/>
      <c r="HRO32" s="58"/>
      <c r="HRP32" s="58"/>
      <c r="HRQ32" s="58"/>
      <c r="HRR32" s="58"/>
      <c r="HRS32" s="59"/>
      <c r="HRT32" s="60"/>
      <c r="HRU32" s="54"/>
      <c r="HRV32" s="54"/>
      <c r="HRW32" s="36"/>
      <c r="HRX32" s="55"/>
      <c r="HRY32" s="54"/>
      <c r="HRZ32" s="56"/>
      <c r="HSA32" s="57"/>
      <c r="HSB32" s="54"/>
      <c r="HSC32" s="54"/>
      <c r="HSD32" s="54"/>
      <c r="HSE32" s="58"/>
      <c r="HSF32" s="58"/>
      <c r="HSG32" s="58"/>
      <c r="HSH32" s="58"/>
      <c r="HSI32" s="59"/>
      <c r="HSJ32" s="60"/>
      <c r="HSK32" s="54"/>
      <c r="HSL32" s="54"/>
      <c r="HSM32" s="36"/>
      <c r="HSN32" s="55"/>
      <c r="HSO32" s="54"/>
      <c r="HSP32" s="56"/>
      <c r="HSQ32" s="57"/>
      <c r="HSR32" s="54"/>
      <c r="HSS32" s="54"/>
      <c r="HST32" s="54"/>
      <c r="HSU32" s="58"/>
      <c r="HSV32" s="58"/>
      <c r="HSW32" s="58"/>
      <c r="HSX32" s="58"/>
      <c r="HSY32" s="59"/>
      <c r="HSZ32" s="60"/>
      <c r="HTA32" s="54"/>
      <c r="HTB32" s="54"/>
      <c r="HTC32" s="36"/>
      <c r="HTD32" s="55"/>
      <c r="HTE32" s="54"/>
      <c r="HTF32" s="56"/>
      <c r="HTG32" s="57"/>
      <c r="HTH32" s="54"/>
      <c r="HTI32" s="54"/>
      <c r="HTJ32" s="54"/>
      <c r="HTK32" s="58"/>
      <c r="HTL32" s="58"/>
      <c r="HTM32" s="58"/>
      <c r="HTN32" s="58"/>
      <c r="HTO32" s="59"/>
      <c r="HTP32" s="60"/>
      <c r="HTQ32" s="54"/>
      <c r="HTR32" s="54"/>
      <c r="HTS32" s="36"/>
      <c r="HTT32" s="55"/>
      <c r="HTU32" s="54"/>
      <c r="HTV32" s="56"/>
      <c r="HTW32" s="57"/>
      <c r="HTX32" s="54"/>
      <c r="HTY32" s="54"/>
      <c r="HTZ32" s="54"/>
      <c r="HUA32" s="58"/>
      <c r="HUB32" s="58"/>
      <c r="HUC32" s="58"/>
      <c r="HUD32" s="58"/>
      <c r="HUE32" s="59"/>
      <c r="HUF32" s="60"/>
      <c r="HUG32" s="54"/>
      <c r="HUH32" s="54"/>
      <c r="HUI32" s="36"/>
      <c r="HUJ32" s="55"/>
      <c r="HUK32" s="54"/>
      <c r="HUL32" s="56"/>
      <c r="HUM32" s="57"/>
      <c r="HUN32" s="54"/>
      <c r="HUO32" s="54"/>
      <c r="HUP32" s="54"/>
      <c r="HUQ32" s="58"/>
      <c r="HUR32" s="58"/>
      <c r="HUS32" s="58"/>
      <c r="HUT32" s="58"/>
      <c r="HUU32" s="59"/>
      <c r="HUV32" s="60"/>
      <c r="HUW32" s="54"/>
      <c r="HUX32" s="54"/>
      <c r="HUY32" s="36"/>
      <c r="HUZ32" s="55"/>
      <c r="HVA32" s="54"/>
      <c r="HVB32" s="56"/>
      <c r="HVC32" s="57"/>
      <c r="HVD32" s="54"/>
      <c r="HVE32" s="54"/>
      <c r="HVF32" s="54"/>
      <c r="HVG32" s="58"/>
      <c r="HVH32" s="58"/>
      <c r="HVI32" s="58"/>
      <c r="HVJ32" s="58"/>
      <c r="HVK32" s="59"/>
      <c r="HVL32" s="60"/>
      <c r="HVM32" s="54"/>
      <c r="HVN32" s="54"/>
      <c r="HVO32" s="36"/>
      <c r="HVP32" s="55"/>
      <c r="HVQ32" s="54"/>
      <c r="HVR32" s="56"/>
      <c r="HVS32" s="57"/>
      <c r="HVT32" s="54"/>
      <c r="HVU32" s="54"/>
      <c r="HVV32" s="54"/>
      <c r="HVW32" s="58"/>
      <c r="HVX32" s="58"/>
      <c r="HVY32" s="58"/>
      <c r="HVZ32" s="58"/>
      <c r="HWA32" s="59"/>
      <c r="HWB32" s="60"/>
      <c r="HWC32" s="54"/>
      <c r="HWD32" s="54"/>
      <c r="HWE32" s="36"/>
      <c r="HWF32" s="55"/>
      <c r="HWG32" s="54"/>
      <c r="HWH32" s="56"/>
      <c r="HWI32" s="57"/>
      <c r="HWJ32" s="54"/>
      <c r="HWK32" s="54"/>
      <c r="HWL32" s="54"/>
      <c r="HWM32" s="58"/>
      <c r="HWN32" s="58"/>
      <c r="HWO32" s="58"/>
      <c r="HWP32" s="58"/>
      <c r="HWQ32" s="59"/>
      <c r="HWR32" s="60"/>
      <c r="HWS32" s="54"/>
      <c r="HWT32" s="54"/>
      <c r="HWU32" s="36"/>
      <c r="HWV32" s="55"/>
      <c r="HWW32" s="54"/>
      <c r="HWX32" s="56"/>
      <c r="HWY32" s="57"/>
      <c r="HWZ32" s="54"/>
      <c r="HXA32" s="54"/>
      <c r="HXB32" s="54"/>
      <c r="HXC32" s="58"/>
      <c r="HXD32" s="58"/>
      <c r="HXE32" s="58"/>
      <c r="HXF32" s="58"/>
      <c r="HXG32" s="59"/>
      <c r="HXH32" s="60"/>
      <c r="HXI32" s="54"/>
      <c r="HXJ32" s="54"/>
      <c r="HXK32" s="36"/>
      <c r="HXL32" s="55"/>
      <c r="HXM32" s="54"/>
      <c r="HXN32" s="56"/>
      <c r="HXO32" s="57"/>
      <c r="HXP32" s="54"/>
      <c r="HXQ32" s="54"/>
      <c r="HXR32" s="54"/>
      <c r="HXS32" s="58"/>
      <c r="HXT32" s="58"/>
      <c r="HXU32" s="58"/>
      <c r="HXV32" s="58"/>
      <c r="HXW32" s="59"/>
      <c r="HXX32" s="60"/>
      <c r="HXY32" s="54"/>
      <c r="HXZ32" s="54"/>
      <c r="HYA32" s="36"/>
      <c r="HYB32" s="55"/>
      <c r="HYC32" s="54"/>
      <c r="HYD32" s="56"/>
      <c r="HYE32" s="57"/>
      <c r="HYF32" s="54"/>
      <c r="HYG32" s="54"/>
      <c r="HYH32" s="54"/>
      <c r="HYI32" s="58"/>
      <c r="HYJ32" s="58"/>
      <c r="HYK32" s="58"/>
      <c r="HYL32" s="58"/>
      <c r="HYM32" s="59"/>
      <c r="HYN32" s="60"/>
      <c r="HYO32" s="54"/>
      <c r="HYP32" s="54"/>
      <c r="HYQ32" s="36"/>
      <c r="HYR32" s="55"/>
      <c r="HYS32" s="54"/>
      <c r="HYT32" s="56"/>
      <c r="HYU32" s="57"/>
      <c r="HYV32" s="54"/>
      <c r="HYW32" s="54"/>
      <c r="HYX32" s="54"/>
      <c r="HYY32" s="58"/>
      <c r="HYZ32" s="58"/>
      <c r="HZA32" s="58"/>
      <c r="HZB32" s="58"/>
      <c r="HZC32" s="59"/>
      <c r="HZD32" s="60"/>
      <c r="HZE32" s="54"/>
      <c r="HZF32" s="54"/>
      <c r="HZG32" s="36"/>
      <c r="HZH32" s="55"/>
      <c r="HZI32" s="54"/>
      <c r="HZJ32" s="56"/>
      <c r="HZK32" s="57"/>
      <c r="HZL32" s="54"/>
      <c r="HZM32" s="54"/>
      <c r="HZN32" s="54"/>
      <c r="HZO32" s="58"/>
      <c r="HZP32" s="58"/>
      <c r="HZQ32" s="58"/>
      <c r="HZR32" s="58"/>
      <c r="HZS32" s="59"/>
      <c r="HZT32" s="60"/>
      <c r="HZU32" s="54"/>
      <c r="HZV32" s="54"/>
      <c r="HZW32" s="36"/>
      <c r="HZX32" s="55"/>
      <c r="HZY32" s="54"/>
      <c r="HZZ32" s="56"/>
      <c r="IAA32" s="57"/>
      <c r="IAB32" s="54"/>
      <c r="IAC32" s="54"/>
      <c r="IAD32" s="54"/>
      <c r="IAE32" s="58"/>
      <c r="IAF32" s="58"/>
      <c r="IAG32" s="58"/>
      <c r="IAH32" s="58"/>
      <c r="IAI32" s="59"/>
      <c r="IAJ32" s="60"/>
      <c r="IAK32" s="54"/>
      <c r="IAL32" s="54"/>
      <c r="IAM32" s="36"/>
      <c r="IAN32" s="55"/>
      <c r="IAO32" s="54"/>
      <c r="IAP32" s="56"/>
      <c r="IAQ32" s="57"/>
      <c r="IAR32" s="54"/>
      <c r="IAS32" s="54"/>
      <c r="IAT32" s="54"/>
      <c r="IAU32" s="58"/>
      <c r="IAV32" s="58"/>
      <c r="IAW32" s="58"/>
      <c r="IAX32" s="58"/>
      <c r="IAY32" s="59"/>
      <c r="IAZ32" s="60"/>
      <c r="IBA32" s="54"/>
      <c r="IBB32" s="54"/>
      <c r="IBC32" s="36"/>
      <c r="IBD32" s="55"/>
      <c r="IBE32" s="54"/>
      <c r="IBF32" s="56"/>
      <c r="IBG32" s="57"/>
      <c r="IBH32" s="54"/>
      <c r="IBI32" s="54"/>
      <c r="IBJ32" s="54"/>
      <c r="IBK32" s="58"/>
      <c r="IBL32" s="58"/>
      <c r="IBM32" s="58"/>
      <c r="IBN32" s="58"/>
      <c r="IBO32" s="59"/>
      <c r="IBP32" s="60"/>
      <c r="IBQ32" s="54"/>
      <c r="IBR32" s="54"/>
      <c r="IBS32" s="36"/>
      <c r="IBT32" s="55"/>
      <c r="IBU32" s="54"/>
      <c r="IBV32" s="56"/>
      <c r="IBW32" s="57"/>
      <c r="IBX32" s="54"/>
      <c r="IBY32" s="54"/>
      <c r="IBZ32" s="54"/>
      <c r="ICA32" s="58"/>
      <c r="ICB32" s="58"/>
      <c r="ICC32" s="58"/>
      <c r="ICD32" s="58"/>
      <c r="ICE32" s="59"/>
      <c r="ICF32" s="60"/>
      <c r="ICG32" s="54"/>
      <c r="ICH32" s="54"/>
      <c r="ICI32" s="36"/>
      <c r="ICJ32" s="55"/>
      <c r="ICK32" s="54"/>
      <c r="ICL32" s="56"/>
      <c r="ICM32" s="57"/>
      <c r="ICN32" s="54"/>
      <c r="ICO32" s="54"/>
      <c r="ICP32" s="54"/>
      <c r="ICQ32" s="58"/>
      <c r="ICR32" s="58"/>
      <c r="ICS32" s="58"/>
      <c r="ICT32" s="58"/>
      <c r="ICU32" s="59"/>
      <c r="ICV32" s="60"/>
      <c r="ICW32" s="54"/>
      <c r="ICX32" s="54"/>
      <c r="ICY32" s="36"/>
      <c r="ICZ32" s="55"/>
      <c r="IDA32" s="54"/>
      <c r="IDB32" s="56"/>
      <c r="IDC32" s="57"/>
      <c r="IDD32" s="54"/>
      <c r="IDE32" s="54"/>
      <c r="IDF32" s="54"/>
      <c r="IDG32" s="58"/>
      <c r="IDH32" s="58"/>
      <c r="IDI32" s="58"/>
      <c r="IDJ32" s="58"/>
      <c r="IDK32" s="59"/>
      <c r="IDL32" s="60"/>
      <c r="IDM32" s="54"/>
      <c r="IDN32" s="54"/>
      <c r="IDO32" s="36"/>
      <c r="IDP32" s="55"/>
      <c r="IDQ32" s="54"/>
      <c r="IDR32" s="56"/>
      <c r="IDS32" s="57"/>
      <c r="IDT32" s="54"/>
      <c r="IDU32" s="54"/>
      <c r="IDV32" s="54"/>
      <c r="IDW32" s="58"/>
      <c r="IDX32" s="58"/>
      <c r="IDY32" s="58"/>
      <c r="IDZ32" s="58"/>
      <c r="IEA32" s="59"/>
      <c r="IEB32" s="60"/>
      <c r="IEC32" s="54"/>
      <c r="IED32" s="54"/>
      <c r="IEE32" s="36"/>
      <c r="IEF32" s="55"/>
      <c r="IEG32" s="54"/>
      <c r="IEH32" s="56"/>
      <c r="IEI32" s="57"/>
      <c r="IEJ32" s="54"/>
      <c r="IEK32" s="54"/>
      <c r="IEL32" s="54"/>
      <c r="IEM32" s="58"/>
      <c r="IEN32" s="58"/>
      <c r="IEO32" s="58"/>
      <c r="IEP32" s="58"/>
      <c r="IEQ32" s="59"/>
      <c r="IER32" s="60"/>
      <c r="IES32" s="54"/>
      <c r="IET32" s="54"/>
      <c r="IEU32" s="36"/>
      <c r="IEV32" s="55"/>
      <c r="IEW32" s="54"/>
      <c r="IEX32" s="56"/>
      <c r="IEY32" s="57"/>
      <c r="IEZ32" s="54"/>
      <c r="IFA32" s="54"/>
      <c r="IFB32" s="54"/>
      <c r="IFC32" s="58"/>
      <c r="IFD32" s="58"/>
      <c r="IFE32" s="58"/>
      <c r="IFF32" s="58"/>
      <c r="IFG32" s="59"/>
      <c r="IFH32" s="60"/>
      <c r="IFI32" s="54"/>
      <c r="IFJ32" s="54"/>
      <c r="IFK32" s="36"/>
      <c r="IFL32" s="55"/>
      <c r="IFM32" s="54"/>
      <c r="IFN32" s="56"/>
      <c r="IFO32" s="57"/>
      <c r="IFP32" s="54"/>
      <c r="IFQ32" s="54"/>
      <c r="IFR32" s="54"/>
      <c r="IFS32" s="58"/>
      <c r="IFT32" s="58"/>
      <c r="IFU32" s="58"/>
      <c r="IFV32" s="58"/>
      <c r="IFW32" s="59"/>
      <c r="IFX32" s="60"/>
      <c r="IFY32" s="54"/>
      <c r="IFZ32" s="54"/>
      <c r="IGA32" s="36"/>
      <c r="IGB32" s="55"/>
      <c r="IGC32" s="54"/>
      <c r="IGD32" s="56"/>
      <c r="IGE32" s="57"/>
      <c r="IGF32" s="54"/>
      <c r="IGG32" s="54"/>
      <c r="IGH32" s="54"/>
      <c r="IGI32" s="58"/>
      <c r="IGJ32" s="58"/>
      <c r="IGK32" s="58"/>
      <c r="IGL32" s="58"/>
      <c r="IGM32" s="59"/>
      <c r="IGN32" s="60"/>
      <c r="IGO32" s="54"/>
      <c r="IGP32" s="54"/>
      <c r="IGQ32" s="36"/>
      <c r="IGR32" s="55"/>
      <c r="IGS32" s="54"/>
      <c r="IGT32" s="56"/>
      <c r="IGU32" s="57"/>
      <c r="IGV32" s="54"/>
      <c r="IGW32" s="54"/>
      <c r="IGX32" s="54"/>
      <c r="IGY32" s="58"/>
      <c r="IGZ32" s="58"/>
      <c r="IHA32" s="58"/>
      <c r="IHB32" s="58"/>
      <c r="IHC32" s="59"/>
      <c r="IHD32" s="60"/>
      <c r="IHE32" s="54"/>
      <c r="IHF32" s="54"/>
      <c r="IHG32" s="36"/>
      <c r="IHH32" s="55"/>
      <c r="IHI32" s="54"/>
      <c r="IHJ32" s="56"/>
      <c r="IHK32" s="57"/>
      <c r="IHL32" s="54"/>
      <c r="IHM32" s="54"/>
      <c r="IHN32" s="54"/>
      <c r="IHO32" s="58"/>
      <c r="IHP32" s="58"/>
      <c r="IHQ32" s="58"/>
      <c r="IHR32" s="58"/>
      <c r="IHS32" s="59"/>
      <c r="IHT32" s="60"/>
      <c r="IHU32" s="54"/>
      <c r="IHV32" s="54"/>
      <c r="IHW32" s="36"/>
      <c r="IHX32" s="55"/>
      <c r="IHY32" s="54"/>
      <c r="IHZ32" s="56"/>
      <c r="IIA32" s="57"/>
      <c r="IIB32" s="54"/>
      <c r="IIC32" s="54"/>
      <c r="IID32" s="54"/>
      <c r="IIE32" s="58"/>
      <c r="IIF32" s="58"/>
      <c r="IIG32" s="58"/>
      <c r="IIH32" s="58"/>
      <c r="III32" s="59"/>
      <c r="IIJ32" s="60"/>
      <c r="IIK32" s="54"/>
      <c r="IIL32" s="54"/>
      <c r="IIM32" s="36"/>
      <c r="IIN32" s="55"/>
      <c r="IIO32" s="54"/>
      <c r="IIP32" s="56"/>
      <c r="IIQ32" s="57"/>
      <c r="IIR32" s="54"/>
      <c r="IIS32" s="54"/>
      <c r="IIT32" s="54"/>
      <c r="IIU32" s="58"/>
      <c r="IIV32" s="58"/>
      <c r="IIW32" s="58"/>
      <c r="IIX32" s="58"/>
      <c r="IIY32" s="59"/>
      <c r="IIZ32" s="60"/>
      <c r="IJA32" s="54"/>
      <c r="IJB32" s="54"/>
      <c r="IJC32" s="36"/>
      <c r="IJD32" s="55"/>
      <c r="IJE32" s="54"/>
      <c r="IJF32" s="56"/>
      <c r="IJG32" s="57"/>
      <c r="IJH32" s="54"/>
      <c r="IJI32" s="54"/>
      <c r="IJJ32" s="54"/>
      <c r="IJK32" s="58"/>
      <c r="IJL32" s="58"/>
      <c r="IJM32" s="58"/>
      <c r="IJN32" s="58"/>
      <c r="IJO32" s="59"/>
      <c r="IJP32" s="60"/>
      <c r="IJQ32" s="54"/>
      <c r="IJR32" s="54"/>
      <c r="IJS32" s="36"/>
      <c r="IJT32" s="55"/>
      <c r="IJU32" s="54"/>
      <c r="IJV32" s="56"/>
      <c r="IJW32" s="57"/>
      <c r="IJX32" s="54"/>
      <c r="IJY32" s="54"/>
      <c r="IJZ32" s="54"/>
      <c r="IKA32" s="58"/>
      <c r="IKB32" s="58"/>
      <c r="IKC32" s="58"/>
      <c r="IKD32" s="58"/>
      <c r="IKE32" s="59"/>
      <c r="IKF32" s="60"/>
      <c r="IKG32" s="54"/>
      <c r="IKH32" s="54"/>
      <c r="IKI32" s="36"/>
      <c r="IKJ32" s="55"/>
      <c r="IKK32" s="54"/>
      <c r="IKL32" s="56"/>
      <c r="IKM32" s="57"/>
      <c r="IKN32" s="54"/>
      <c r="IKO32" s="54"/>
      <c r="IKP32" s="54"/>
      <c r="IKQ32" s="58"/>
      <c r="IKR32" s="58"/>
      <c r="IKS32" s="58"/>
      <c r="IKT32" s="58"/>
      <c r="IKU32" s="59"/>
      <c r="IKV32" s="60"/>
      <c r="IKW32" s="54"/>
      <c r="IKX32" s="54"/>
      <c r="IKY32" s="36"/>
      <c r="IKZ32" s="55"/>
      <c r="ILA32" s="54"/>
      <c r="ILB32" s="56"/>
      <c r="ILC32" s="57"/>
      <c r="ILD32" s="54"/>
      <c r="ILE32" s="54"/>
      <c r="ILF32" s="54"/>
      <c r="ILG32" s="58"/>
      <c r="ILH32" s="58"/>
      <c r="ILI32" s="58"/>
      <c r="ILJ32" s="58"/>
      <c r="ILK32" s="59"/>
      <c r="ILL32" s="60"/>
      <c r="ILM32" s="54"/>
      <c r="ILN32" s="54"/>
      <c r="ILO32" s="36"/>
      <c r="ILP32" s="55"/>
      <c r="ILQ32" s="54"/>
      <c r="ILR32" s="56"/>
      <c r="ILS32" s="57"/>
      <c r="ILT32" s="54"/>
      <c r="ILU32" s="54"/>
      <c r="ILV32" s="54"/>
      <c r="ILW32" s="58"/>
      <c r="ILX32" s="58"/>
      <c r="ILY32" s="58"/>
      <c r="ILZ32" s="58"/>
      <c r="IMA32" s="59"/>
      <c r="IMB32" s="60"/>
      <c r="IMC32" s="54"/>
      <c r="IMD32" s="54"/>
      <c r="IME32" s="36"/>
      <c r="IMF32" s="55"/>
      <c r="IMG32" s="54"/>
      <c r="IMH32" s="56"/>
      <c r="IMI32" s="57"/>
      <c r="IMJ32" s="54"/>
      <c r="IMK32" s="54"/>
      <c r="IML32" s="54"/>
      <c r="IMM32" s="58"/>
      <c r="IMN32" s="58"/>
      <c r="IMO32" s="58"/>
      <c r="IMP32" s="58"/>
      <c r="IMQ32" s="59"/>
      <c r="IMR32" s="60"/>
      <c r="IMS32" s="54"/>
      <c r="IMT32" s="54"/>
      <c r="IMU32" s="36"/>
      <c r="IMV32" s="55"/>
      <c r="IMW32" s="54"/>
      <c r="IMX32" s="56"/>
      <c r="IMY32" s="57"/>
      <c r="IMZ32" s="54"/>
      <c r="INA32" s="54"/>
      <c r="INB32" s="54"/>
      <c r="INC32" s="58"/>
      <c r="IND32" s="58"/>
      <c r="INE32" s="58"/>
      <c r="INF32" s="58"/>
      <c r="ING32" s="59"/>
      <c r="INH32" s="60"/>
      <c r="INI32" s="54"/>
      <c r="INJ32" s="54"/>
      <c r="INK32" s="36"/>
      <c r="INL32" s="55"/>
      <c r="INM32" s="54"/>
      <c r="INN32" s="56"/>
      <c r="INO32" s="57"/>
      <c r="INP32" s="54"/>
      <c r="INQ32" s="54"/>
      <c r="INR32" s="54"/>
      <c r="INS32" s="58"/>
      <c r="INT32" s="58"/>
      <c r="INU32" s="58"/>
      <c r="INV32" s="58"/>
      <c r="INW32" s="59"/>
      <c r="INX32" s="60"/>
      <c r="INY32" s="54"/>
      <c r="INZ32" s="54"/>
      <c r="IOA32" s="36"/>
      <c r="IOB32" s="55"/>
      <c r="IOC32" s="54"/>
      <c r="IOD32" s="56"/>
      <c r="IOE32" s="57"/>
      <c r="IOF32" s="54"/>
      <c r="IOG32" s="54"/>
      <c r="IOH32" s="54"/>
      <c r="IOI32" s="58"/>
      <c r="IOJ32" s="58"/>
      <c r="IOK32" s="58"/>
      <c r="IOL32" s="58"/>
      <c r="IOM32" s="59"/>
      <c r="ION32" s="60"/>
      <c r="IOO32" s="54"/>
      <c r="IOP32" s="54"/>
      <c r="IOQ32" s="36"/>
      <c r="IOR32" s="55"/>
      <c r="IOS32" s="54"/>
      <c r="IOT32" s="56"/>
      <c r="IOU32" s="57"/>
      <c r="IOV32" s="54"/>
      <c r="IOW32" s="54"/>
      <c r="IOX32" s="54"/>
      <c r="IOY32" s="58"/>
      <c r="IOZ32" s="58"/>
      <c r="IPA32" s="58"/>
      <c r="IPB32" s="58"/>
      <c r="IPC32" s="59"/>
      <c r="IPD32" s="60"/>
      <c r="IPE32" s="54"/>
      <c r="IPF32" s="54"/>
      <c r="IPG32" s="36"/>
      <c r="IPH32" s="55"/>
      <c r="IPI32" s="54"/>
      <c r="IPJ32" s="56"/>
      <c r="IPK32" s="57"/>
      <c r="IPL32" s="54"/>
      <c r="IPM32" s="54"/>
      <c r="IPN32" s="54"/>
      <c r="IPO32" s="58"/>
      <c r="IPP32" s="58"/>
      <c r="IPQ32" s="58"/>
      <c r="IPR32" s="58"/>
      <c r="IPS32" s="59"/>
      <c r="IPT32" s="60"/>
      <c r="IPU32" s="54"/>
      <c r="IPV32" s="54"/>
      <c r="IPW32" s="36"/>
      <c r="IPX32" s="55"/>
      <c r="IPY32" s="54"/>
      <c r="IPZ32" s="56"/>
      <c r="IQA32" s="57"/>
      <c r="IQB32" s="54"/>
      <c r="IQC32" s="54"/>
      <c r="IQD32" s="54"/>
      <c r="IQE32" s="58"/>
      <c r="IQF32" s="58"/>
      <c r="IQG32" s="58"/>
      <c r="IQH32" s="58"/>
      <c r="IQI32" s="59"/>
      <c r="IQJ32" s="60"/>
      <c r="IQK32" s="54"/>
      <c r="IQL32" s="54"/>
      <c r="IQM32" s="36"/>
      <c r="IQN32" s="55"/>
      <c r="IQO32" s="54"/>
      <c r="IQP32" s="56"/>
      <c r="IQQ32" s="57"/>
      <c r="IQR32" s="54"/>
      <c r="IQS32" s="54"/>
      <c r="IQT32" s="54"/>
      <c r="IQU32" s="58"/>
      <c r="IQV32" s="58"/>
      <c r="IQW32" s="58"/>
      <c r="IQX32" s="58"/>
      <c r="IQY32" s="59"/>
      <c r="IQZ32" s="60"/>
      <c r="IRA32" s="54"/>
      <c r="IRB32" s="54"/>
      <c r="IRC32" s="36"/>
      <c r="IRD32" s="55"/>
      <c r="IRE32" s="54"/>
      <c r="IRF32" s="56"/>
      <c r="IRG32" s="57"/>
      <c r="IRH32" s="54"/>
      <c r="IRI32" s="54"/>
      <c r="IRJ32" s="54"/>
      <c r="IRK32" s="58"/>
      <c r="IRL32" s="58"/>
      <c r="IRM32" s="58"/>
      <c r="IRN32" s="58"/>
      <c r="IRO32" s="59"/>
      <c r="IRP32" s="60"/>
      <c r="IRQ32" s="54"/>
      <c r="IRR32" s="54"/>
      <c r="IRS32" s="36"/>
      <c r="IRT32" s="55"/>
      <c r="IRU32" s="54"/>
      <c r="IRV32" s="56"/>
      <c r="IRW32" s="57"/>
      <c r="IRX32" s="54"/>
      <c r="IRY32" s="54"/>
      <c r="IRZ32" s="54"/>
      <c r="ISA32" s="58"/>
      <c r="ISB32" s="58"/>
      <c r="ISC32" s="58"/>
      <c r="ISD32" s="58"/>
      <c r="ISE32" s="59"/>
      <c r="ISF32" s="60"/>
      <c r="ISG32" s="54"/>
      <c r="ISH32" s="54"/>
      <c r="ISI32" s="36"/>
      <c r="ISJ32" s="55"/>
      <c r="ISK32" s="54"/>
      <c r="ISL32" s="56"/>
      <c r="ISM32" s="57"/>
      <c r="ISN32" s="54"/>
      <c r="ISO32" s="54"/>
      <c r="ISP32" s="54"/>
      <c r="ISQ32" s="58"/>
      <c r="ISR32" s="58"/>
      <c r="ISS32" s="58"/>
      <c r="IST32" s="58"/>
      <c r="ISU32" s="59"/>
      <c r="ISV32" s="60"/>
      <c r="ISW32" s="54"/>
      <c r="ISX32" s="54"/>
      <c r="ISY32" s="36"/>
      <c r="ISZ32" s="55"/>
      <c r="ITA32" s="54"/>
      <c r="ITB32" s="56"/>
      <c r="ITC32" s="57"/>
      <c r="ITD32" s="54"/>
      <c r="ITE32" s="54"/>
      <c r="ITF32" s="54"/>
      <c r="ITG32" s="58"/>
      <c r="ITH32" s="58"/>
      <c r="ITI32" s="58"/>
      <c r="ITJ32" s="58"/>
      <c r="ITK32" s="59"/>
      <c r="ITL32" s="60"/>
      <c r="ITM32" s="54"/>
      <c r="ITN32" s="54"/>
      <c r="ITO32" s="36"/>
      <c r="ITP32" s="55"/>
      <c r="ITQ32" s="54"/>
      <c r="ITR32" s="56"/>
      <c r="ITS32" s="57"/>
      <c r="ITT32" s="54"/>
      <c r="ITU32" s="54"/>
      <c r="ITV32" s="54"/>
      <c r="ITW32" s="58"/>
      <c r="ITX32" s="58"/>
      <c r="ITY32" s="58"/>
      <c r="ITZ32" s="58"/>
      <c r="IUA32" s="59"/>
      <c r="IUB32" s="60"/>
      <c r="IUC32" s="54"/>
      <c r="IUD32" s="54"/>
      <c r="IUE32" s="36"/>
      <c r="IUF32" s="55"/>
      <c r="IUG32" s="54"/>
      <c r="IUH32" s="56"/>
      <c r="IUI32" s="57"/>
      <c r="IUJ32" s="54"/>
      <c r="IUK32" s="54"/>
      <c r="IUL32" s="54"/>
      <c r="IUM32" s="58"/>
      <c r="IUN32" s="58"/>
      <c r="IUO32" s="58"/>
      <c r="IUP32" s="58"/>
      <c r="IUQ32" s="59"/>
      <c r="IUR32" s="60"/>
      <c r="IUS32" s="54"/>
      <c r="IUT32" s="54"/>
      <c r="IUU32" s="36"/>
      <c r="IUV32" s="55"/>
      <c r="IUW32" s="54"/>
      <c r="IUX32" s="56"/>
      <c r="IUY32" s="57"/>
      <c r="IUZ32" s="54"/>
      <c r="IVA32" s="54"/>
      <c r="IVB32" s="54"/>
      <c r="IVC32" s="58"/>
      <c r="IVD32" s="58"/>
      <c r="IVE32" s="58"/>
      <c r="IVF32" s="58"/>
      <c r="IVG32" s="59"/>
      <c r="IVH32" s="60"/>
      <c r="IVI32" s="54"/>
      <c r="IVJ32" s="54"/>
      <c r="IVK32" s="36"/>
      <c r="IVL32" s="55"/>
      <c r="IVM32" s="54"/>
      <c r="IVN32" s="56"/>
      <c r="IVO32" s="57"/>
      <c r="IVP32" s="54"/>
      <c r="IVQ32" s="54"/>
      <c r="IVR32" s="54"/>
      <c r="IVS32" s="58"/>
      <c r="IVT32" s="58"/>
      <c r="IVU32" s="58"/>
      <c r="IVV32" s="58"/>
      <c r="IVW32" s="59"/>
      <c r="IVX32" s="60"/>
      <c r="IVY32" s="54"/>
      <c r="IVZ32" s="54"/>
      <c r="IWA32" s="36"/>
      <c r="IWB32" s="55"/>
      <c r="IWC32" s="54"/>
      <c r="IWD32" s="56"/>
      <c r="IWE32" s="57"/>
      <c r="IWF32" s="54"/>
      <c r="IWG32" s="54"/>
      <c r="IWH32" s="54"/>
      <c r="IWI32" s="58"/>
      <c r="IWJ32" s="58"/>
      <c r="IWK32" s="58"/>
      <c r="IWL32" s="58"/>
      <c r="IWM32" s="59"/>
      <c r="IWN32" s="60"/>
      <c r="IWO32" s="54"/>
      <c r="IWP32" s="54"/>
      <c r="IWQ32" s="36"/>
      <c r="IWR32" s="55"/>
      <c r="IWS32" s="54"/>
      <c r="IWT32" s="56"/>
      <c r="IWU32" s="57"/>
      <c r="IWV32" s="54"/>
      <c r="IWW32" s="54"/>
      <c r="IWX32" s="54"/>
      <c r="IWY32" s="58"/>
      <c r="IWZ32" s="58"/>
      <c r="IXA32" s="58"/>
      <c r="IXB32" s="58"/>
      <c r="IXC32" s="59"/>
      <c r="IXD32" s="60"/>
      <c r="IXE32" s="54"/>
      <c r="IXF32" s="54"/>
      <c r="IXG32" s="36"/>
      <c r="IXH32" s="55"/>
      <c r="IXI32" s="54"/>
      <c r="IXJ32" s="56"/>
      <c r="IXK32" s="57"/>
      <c r="IXL32" s="54"/>
      <c r="IXM32" s="54"/>
      <c r="IXN32" s="54"/>
      <c r="IXO32" s="58"/>
      <c r="IXP32" s="58"/>
      <c r="IXQ32" s="58"/>
      <c r="IXR32" s="58"/>
      <c r="IXS32" s="59"/>
      <c r="IXT32" s="60"/>
      <c r="IXU32" s="54"/>
      <c r="IXV32" s="54"/>
      <c r="IXW32" s="36"/>
      <c r="IXX32" s="55"/>
      <c r="IXY32" s="54"/>
      <c r="IXZ32" s="56"/>
      <c r="IYA32" s="57"/>
      <c r="IYB32" s="54"/>
      <c r="IYC32" s="54"/>
      <c r="IYD32" s="54"/>
      <c r="IYE32" s="58"/>
      <c r="IYF32" s="58"/>
      <c r="IYG32" s="58"/>
      <c r="IYH32" s="58"/>
      <c r="IYI32" s="59"/>
      <c r="IYJ32" s="60"/>
      <c r="IYK32" s="54"/>
      <c r="IYL32" s="54"/>
      <c r="IYM32" s="36"/>
      <c r="IYN32" s="55"/>
      <c r="IYO32" s="54"/>
      <c r="IYP32" s="56"/>
      <c r="IYQ32" s="57"/>
      <c r="IYR32" s="54"/>
      <c r="IYS32" s="54"/>
      <c r="IYT32" s="54"/>
      <c r="IYU32" s="58"/>
      <c r="IYV32" s="58"/>
      <c r="IYW32" s="58"/>
      <c r="IYX32" s="58"/>
      <c r="IYY32" s="59"/>
      <c r="IYZ32" s="60"/>
      <c r="IZA32" s="54"/>
      <c r="IZB32" s="54"/>
      <c r="IZC32" s="36"/>
      <c r="IZD32" s="55"/>
      <c r="IZE32" s="54"/>
      <c r="IZF32" s="56"/>
      <c r="IZG32" s="57"/>
      <c r="IZH32" s="54"/>
      <c r="IZI32" s="54"/>
      <c r="IZJ32" s="54"/>
      <c r="IZK32" s="58"/>
      <c r="IZL32" s="58"/>
      <c r="IZM32" s="58"/>
      <c r="IZN32" s="58"/>
      <c r="IZO32" s="59"/>
      <c r="IZP32" s="60"/>
      <c r="IZQ32" s="54"/>
      <c r="IZR32" s="54"/>
      <c r="IZS32" s="36"/>
      <c r="IZT32" s="55"/>
      <c r="IZU32" s="54"/>
      <c r="IZV32" s="56"/>
      <c r="IZW32" s="57"/>
      <c r="IZX32" s="54"/>
      <c r="IZY32" s="54"/>
      <c r="IZZ32" s="54"/>
      <c r="JAA32" s="58"/>
      <c r="JAB32" s="58"/>
      <c r="JAC32" s="58"/>
      <c r="JAD32" s="58"/>
      <c r="JAE32" s="59"/>
      <c r="JAF32" s="60"/>
      <c r="JAG32" s="54"/>
      <c r="JAH32" s="54"/>
      <c r="JAI32" s="36"/>
      <c r="JAJ32" s="55"/>
      <c r="JAK32" s="54"/>
      <c r="JAL32" s="56"/>
      <c r="JAM32" s="57"/>
      <c r="JAN32" s="54"/>
      <c r="JAO32" s="54"/>
      <c r="JAP32" s="54"/>
      <c r="JAQ32" s="58"/>
      <c r="JAR32" s="58"/>
      <c r="JAS32" s="58"/>
      <c r="JAT32" s="58"/>
      <c r="JAU32" s="59"/>
      <c r="JAV32" s="60"/>
      <c r="JAW32" s="54"/>
      <c r="JAX32" s="54"/>
      <c r="JAY32" s="36"/>
      <c r="JAZ32" s="55"/>
      <c r="JBA32" s="54"/>
      <c r="JBB32" s="56"/>
      <c r="JBC32" s="57"/>
      <c r="JBD32" s="54"/>
      <c r="JBE32" s="54"/>
      <c r="JBF32" s="54"/>
      <c r="JBG32" s="58"/>
      <c r="JBH32" s="58"/>
      <c r="JBI32" s="58"/>
      <c r="JBJ32" s="58"/>
      <c r="JBK32" s="59"/>
      <c r="JBL32" s="60"/>
      <c r="JBM32" s="54"/>
      <c r="JBN32" s="54"/>
      <c r="JBO32" s="36"/>
      <c r="JBP32" s="55"/>
      <c r="JBQ32" s="54"/>
      <c r="JBR32" s="56"/>
      <c r="JBS32" s="57"/>
      <c r="JBT32" s="54"/>
      <c r="JBU32" s="54"/>
      <c r="JBV32" s="54"/>
      <c r="JBW32" s="58"/>
      <c r="JBX32" s="58"/>
      <c r="JBY32" s="58"/>
      <c r="JBZ32" s="58"/>
      <c r="JCA32" s="59"/>
      <c r="JCB32" s="60"/>
      <c r="JCC32" s="54"/>
      <c r="JCD32" s="54"/>
      <c r="JCE32" s="36"/>
      <c r="JCF32" s="55"/>
      <c r="JCG32" s="54"/>
      <c r="JCH32" s="56"/>
      <c r="JCI32" s="57"/>
      <c r="JCJ32" s="54"/>
      <c r="JCK32" s="54"/>
      <c r="JCL32" s="54"/>
      <c r="JCM32" s="58"/>
      <c r="JCN32" s="58"/>
      <c r="JCO32" s="58"/>
      <c r="JCP32" s="58"/>
      <c r="JCQ32" s="59"/>
      <c r="JCR32" s="60"/>
      <c r="JCS32" s="54"/>
      <c r="JCT32" s="54"/>
      <c r="JCU32" s="36"/>
      <c r="JCV32" s="55"/>
      <c r="JCW32" s="54"/>
      <c r="JCX32" s="56"/>
      <c r="JCY32" s="57"/>
      <c r="JCZ32" s="54"/>
      <c r="JDA32" s="54"/>
      <c r="JDB32" s="54"/>
      <c r="JDC32" s="58"/>
      <c r="JDD32" s="58"/>
      <c r="JDE32" s="58"/>
      <c r="JDF32" s="58"/>
      <c r="JDG32" s="59"/>
      <c r="JDH32" s="60"/>
      <c r="JDI32" s="54"/>
      <c r="JDJ32" s="54"/>
      <c r="JDK32" s="36"/>
      <c r="JDL32" s="55"/>
      <c r="JDM32" s="54"/>
      <c r="JDN32" s="56"/>
      <c r="JDO32" s="57"/>
      <c r="JDP32" s="54"/>
      <c r="JDQ32" s="54"/>
      <c r="JDR32" s="54"/>
      <c r="JDS32" s="58"/>
      <c r="JDT32" s="58"/>
      <c r="JDU32" s="58"/>
      <c r="JDV32" s="58"/>
      <c r="JDW32" s="59"/>
      <c r="JDX32" s="60"/>
      <c r="JDY32" s="54"/>
      <c r="JDZ32" s="54"/>
      <c r="JEA32" s="36"/>
      <c r="JEB32" s="55"/>
      <c r="JEC32" s="54"/>
      <c r="JED32" s="56"/>
      <c r="JEE32" s="57"/>
      <c r="JEF32" s="54"/>
      <c r="JEG32" s="54"/>
      <c r="JEH32" s="54"/>
      <c r="JEI32" s="58"/>
      <c r="JEJ32" s="58"/>
      <c r="JEK32" s="58"/>
      <c r="JEL32" s="58"/>
      <c r="JEM32" s="59"/>
      <c r="JEN32" s="60"/>
      <c r="JEO32" s="54"/>
      <c r="JEP32" s="54"/>
      <c r="JEQ32" s="36"/>
      <c r="JER32" s="55"/>
      <c r="JES32" s="54"/>
      <c r="JET32" s="56"/>
      <c r="JEU32" s="57"/>
      <c r="JEV32" s="54"/>
      <c r="JEW32" s="54"/>
      <c r="JEX32" s="54"/>
      <c r="JEY32" s="58"/>
      <c r="JEZ32" s="58"/>
      <c r="JFA32" s="58"/>
      <c r="JFB32" s="58"/>
      <c r="JFC32" s="59"/>
      <c r="JFD32" s="60"/>
      <c r="JFE32" s="54"/>
      <c r="JFF32" s="54"/>
      <c r="JFG32" s="36"/>
      <c r="JFH32" s="55"/>
      <c r="JFI32" s="54"/>
      <c r="JFJ32" s="56"/>
      <c r="JFK32" s="57"/>
      <c r="JFL32" s="54"/>
      <c r="JFM32" s="54"/>
      <c r="JFN32" s="54"/>
      <c r="JFO32" s="58"/>
      <c r="JFP32" s="58"/>
      <c r="JFQ32" s="58"/>
      <c r="JFR32" s="58"/>
      <c r="JFS32" s="59"/>
      <c r="JFT32" s="60"/>
      <c r="JFU32" s="54"/>
      <c r="JFV32" s="54"/>
      <c r="JFW32" s="36"/>
      <c r="JFX32" s="55"/>
      <c r="JFY32" s="54"/>
      <c r="JFZ32" s="56"/>
      <c r="JGA32" s="57"/>
      <c r="JGB32" s="54"/>
      <c r="JGC32" s="54"/>
      <c r="JGD32" s="54"/>
      <c r="JGE32" s="58"/>
      <c r="JGF32" s="58"/>
      <c r="JGG32" s="58"/>
      <c r="JGH32" s="58"/>
      <c r="JGI32" s="59"/>
      <c r="JGJ32" s="60"/>
      <c r="JGK32" s="54"/>
      <c r="JGL32" s="54"/>
      <c r="JGM32" s="36"/>
      <c r="JGN32" s="55"/>
      <c r="JGO32" s="54"/>
      <c r="JGP32" s="56"/>
      <c r="JGQ32" s="57"/>
      <c r="JGR32" s="54"/>
      <c r="JGS32" s="54"/>
      <c r="JGT32" s="54"/>
      <c r="JGU32" s="58"/>
      <c r="JGV32" s="58"/>
      <c r="JGW32" s="58"/>
      <c r="JGX32" s="58"/>
      <c r="JGY32" s="59"/>
      <c r="JGZ32" s="60"/>
      <c r="JHA32" s="54"/>
      <c r="JHB32" s="54"/>
      <c r="JHC32" s="36"/>
      <c r="JHD32" s="55"/>
      <c r="JHE32" s="54"/>
      <c r="JHF32" s="56"/>
      <c r="JHG32" s="57"/>
      <c r="JHH32" s="54"/>
      <c r="JHI32" s="54"/>
      <c r="JHJ32" s="54"/>
      <c r="JHK32" s="58"/>
      <c r="JHL32" s="58"/>
      <c r="JHM32" s="58"/>
      <c r="JHN32" s="58"/>
      <c r="JHO32" s="59"/>
      <c r="JHP32" s="60"/>
      <c r="JHQ32" s="54"/>
      <c r="JHR32" s="54"/>
      <c r="JHS32" s="36"/>
      <c r="JHT32" s="55"/>
      <c r="JHU32" s="54"/>
      <c r="JHV32" s="56"/>
      <c r="JHW32" s="57"/>
      <c r="JHX32" s="54"/>
      <c r="JHY32" s="54"/>
      <c r="JHZ32" s="54"/>
      <c r="JIA32" s="58"/>
      <c r="JIB32" s="58"/>
      <c r="JIC32" s="58"/>
      <c r="JID32" s="58"/>
      <c r="JIE32" s="59"/>
      <c r="JIF32" s="60"/>
      <c r="JIG32" s="54"/>
      <c r="JIH32" s="54"/>
      <c r="JII32" s="36"/>
      <c r="JIJ32" s="55"/>
      <c r="JIK32" s="54"/>
      <c r="JIL32" s="56"/>
      <c r="JIM32" s="57"/>
      <c r="JIN32" s="54"/>
      <c r="JIO32" s="54"/>
      <c r="JIP32" s="54"/>
      <c r="JIQ32" s="58"/>
      <c r="JIR32" s="58"/>
      <c r="JIS32" s="58"/>
      <c r="JIT32" s="58"/>
      <c r="JIU32" s="59"/>
      <c r="JIV32" s="60"/>
      <c r="JIW32" s="54"/>
      <c r="JIX32" s="54"/>
      <c r="JIY32" s="36"/>
      <c r="JIZ32" s="55"/>
      <c r="JJA32" s="54"/>
      <c r="JJB32" s="56"/>
      <c r="JJC32" s="57"/>
      <c r="JJD32" s="54"/>
      <c r="JJE32" s="54"/>
      <c r="JJF32" s="54"/>
      <c r="JJG32" s="58"/>
      <c r="JJH32" s="58"/>
      <c r="JJI32" s="58"/>
      <c r="JJJ32" s="58"/>
      <c r="JJK32" s="59"/>
      <c r="JJL32" s="60"/>
      <c r="JJM32" s="54"/>
      <c r="JJN32" s="54"/>
      <c r="JJO32" s="36"/>
      <c r="JJP32" s="55"/>
      <c r="JJQ32" s="54"/>
      <c r="JJR32" s="56"/>
      <c r="JJS32" s="57"/>
      <c r="JJT32" s="54"/>
      <c r="JJU32" s="54"/>
      <c r="JJV32" s="54"/>
      <c r="JJW32" s="58"/>
      <c r="JJX32" s="58"/>
      <c r="JJY32" s="58"/>
      <c r="JJZ32" s="58"/>
      <c r="JKA32" s="59"/>
      <c r="JKB32" s="60"/>
      <c r="JKC32" s="54"/>
      <c r="JKD32" s="54"/>
      <c r="JKE32" s="36"/>
      <c r="JKF32" s="55"/>
      <c r="JKG32" s="54"/>
      <c r="JKH32" s="56"/>
      <c r="JKI32" s="57"/>
      <c r="JKJ32" s="54"/>
      <c r="JKK32" s="54"/>
      <c r="JKL32" s="54"/>
      <c r="JKM32" s="58"/>
      <c r="JKN32" s="58"/>
      <c r="JKO32" s="58"/>
      <c r="JKP32" s="58"/>
      <c r="JKQ32" s="59"/>
      <c r="JKR32" s="60"/>
      <c r="JKS32" s="54"/>
      <c r="JKT32" s="54"/>
      <c r="JKU32" s="36"/>
      <c r="JKV32" s="55"/>
      <c r="JKW32" s="54"/>
      <c r="JKX32" s="56"/>
      <c r="JKY32" s="57"/>
      <c r="JKZ32" s="54"/>
      <c r="JLA32" s="54"/>
      <c r="JLB32" s="54"/>
      <c r="JLC32" s="58"/>
      <c r="JLD32" s="58"/>
      <c r="JLE32" s="58"/>
      <c r="JLF32" s="58"/>
      <c r="JLG32" s="59"/>
      <c r="JLH32" s="60"/>
      <c r="JLI32" s="54"/>
      <c r="JLJ32" s="54"/>
      <c r="JLK32" s="36"/>
      <c r="JLL32" s="55"/>
      <c r="JLM32" s="54"/>
      <c r="JLN32" s="56"/>
      <c r="JLO32" s="57"/>
      <c r="JLP32" s="54"/>
      <c r="JLQ32" s="54"/>
      <c r="JLR32" s="54"/>
      <c r="JLS32" s="58"/>
      <c r="JLT32" s="58"/>
      <c r="JLU32" s="58"/>
      <c r="JLV32" s="58"/>
      <c r="JLW32" s="59"/>
      <c r="JLX32" s="60"/>
      <c r="JLY32" s="54"/>
      <c r="JLZ32" s="54"/>
      <c r="JMA32" s="36"/>
      <c r="JMB32" s="55"/>
      <c r="JMC32" s="54"/>
      <c r="JMD32" s="56"/>
      <c r="JME32" s="57"/>
      <c r="JMF32" s="54"/>
      <c r="JMG32" s="54"/>
      <c r="JMH32" s="54"/>
      <c r="JMI32" s="58"/>
      <c r="JMJ32" s="58"/>
      <c r="JMK32" s="58"/>
      <c r="JML32" s="58"/>
      <c r="JMM32" s="59"/>
      <c r="JMN32" s="60"/>
      <c r="JMO32" s="54"/>
      <c r="JMP32" s="54"/>
      <c r="JMQ32" s="36"/>
      <c r="JMR32" s="55"/>
      <c r="JMS32" s="54"/>
      <c r="JMT32" s="56"/>
      <c r="JMU32" s="57"/>
      <c r="JMV32" s="54"/>
      <c r="JMW32" s="54"/>
      <c r="JMX32" s="54"/>
      <c r="JMY32" s="58"/>
      <c r="JMZ32" s="58"/>
      <c r="JNA32" s="58"/>
      <c r="JNB32" s="58"/>
      <c r="JNC32" s="59"/>
      <c r="JND32" s="60"/>
      <c r="JNE32" s="54"/>
      <c r="JNF32" s="54"/>
      <c r="JNG32" s="36"/>
      <c r="JNH32" s="55"/>
      <c r="JNI32" s="54"/>
      <c r="JNJ32" s="56"/>
      <c r="JNK32" s="57"/>
      <c r="JNL32" s="54"/>
      <c r="JNM32" s="54"/>
      <c r="JNN32" s="54"/>
      <c r="JNO32" s="58"/>
      <c r="JNP32" s="58"/>
      <c r="JNQ32" s="58"/>
      <c r="JNR32" s="58"/>
      <c r="JNS32" s="59"/>
      <c r="JNT32" s="60"/>
      <c r="JNU32" s="54"/>
      <c r="JNV32" s="54"/>
      <c r="JNW32" s="36"/>
      <c r="JNX32" s="55"/>
      <c r="JNY32" s="54"/>
      <c r="JNZ32" s="56"/>
      <c r="JOA32" s="57"/>
      <c r="JOB32" s="54"/>
      <c r="JOC32" s="54"/>
      <c r="JOD32" s="54"/>
      <c r="JOE32" s="58"/>
      <c r="JOF32" s="58"/>
      <c r="JOG32" s="58"/>
      <c r="JOH32" s="58"/>
      <c r="JOI32" s="59"/>
      <c r="JOJ32" s="60"/>
      <c r="JOK32" s="54"/>
      <c r="JOL32" s="54"/>
      <c r="JOM32" s="36"/>
      <c r="JON32" s="55"/>
      <c r="JOO32" s="54"/>
      <c r="JOP32" s="56"/>
      <c r="JOQ32" s="57"/>
      <c r="JOR32" s="54"/>
      <c r="JOS32" s="54"/>
      <c r="JOT32" s="54"/>
      <c r="JOU32" s="58"/>
      <c r="JOV32" s="58"/>
      <c r="JOW32" s="58"/>
      <c r="JOX32" s="58"/>
      <c r="JOY32" s="59"/>
      <c r="JOZ32" s="60"/>
      <c r="JPA32" s="54"/>
      <c r="JPB32" s="54"/>
      <c r="JPC32" s="36"/>
      <c r="JPD32" s="55"/>
      <c r="JPE32" s="54"/>
      <c r="JPF32" s="56"/>
      <c r="JPG32" s="57"/>
      <c r="JPH32" s="54"/>
      <c r="JPI32" s="54"/>
      <c r="JPJ32" s="54"/>
      <c r="JPK32" s="58"/>
      <c r="JPL32" s="58"/>
      <c r="JPM32" s="58"/>
      <c r="JPN32" s="58"/>
      <c r="JPO32" s="59"/>
      <c r="JPP32" s="60"/>
      <c r="JPQ32" s="54"/>
      <c r="JPR32" s="54"/>
      <c r="JPS32" s="36"/>
      <c r="JPT32" s="55"/>
      <c r="JPU32" s="54"/>
      <c r="JPV32" s="56"/>
      <c r="JPW32" s="57"/>
      <c r="JPX32" s="54"/>
      <c r="JPY32" s="54"/>
      <c r="JPZ32" s="54"/>
      <c r="JQA32" s="58"/>
      <c r="JQB32" s="58"/>
      <c r="JQC32" s="58"/>
      <c r="JQD32" s="58"/>
      <c r="JQE32" s="59"/>
      <c r="JQF32" s="60"/>
      <c r="JQG32" s="54"/>
      <c r="JQH32" s="54"/>
      <c r="JQI32" s="36"/>
      <c r="JQJ32" s="55"/>
      <c r="JQK32" s="54"/>
      <c r="JQL32" s="56"/>
      <c r="JQM32" s="57"/>
      <c r="JQN32" s="54"/>
      <c r="JQO32" s="54"/>
      <c r="JQP32" s="54"/>
      <c r="JQQ32" s="58"/>
      <c r="JQR32" s="58"/>
      <c r="JQS32" s="58"/>
      <c r="JQT32" s="58"/>
      <c r="JQU32" s="59"/>
      <c r="JQV32" s="60"/>
      <c r="JQW32" s="54"/>
      <c r="JQX32" s="54"/>
      <c r="JQY32" s="36"/>
      <c r="JQZ32" s="55"/>
      <c r="JRA32" s="54"/>
      <c r="JRB32" s="56"/>
      <c r="JRC32" s="57"/>
      <c r="JRD32" s="54"/>
      <c r="JRE32" s="54"/>
      <c r="JRF32" s="54"/>
      <c r="JRG32" s="58"/>
      <c r="JRH32" s="58"/>
      <c r="JRI32" s="58"/>
      <c r="JRJ32" s="58"/>
      <c r="JRK32" s="59"/>
      <c r="JRL32" s="60"/>
      <c r="JRM32" s="54"/>
      <c r="JRN32" s="54"/>
      <c r="JRO32" s="36"/>
      <c r="JRP32" s="55"/>
      <c r="JRQ32" s="54"/>
      <c r="JRR32" s="56"/>
      <c r="JRS32" s="57"/>
      <c r="JRT32" s="54"/>
      <c r="JRU32" s="54"/>
      <c r="JRV32" s="54"/>
      <c r="JRW32" s="58"/>
      <c r="JRX32" s="58"/>
      <c r="JRY32" s="58"/>
      <c r="JRZ32" s="58"/>
      <c r="JSA32" s="59"/>
      <c r="JSB32" s="60"/>
      <c r="JSC32" s="54"/>
      <c r="JSD32" s="54"/>
      <c r="JSE32" s="36"/>
      <c r="JSF32" s="55"/>
      <c r="JSG32" s="54"/>
      <c r="JSH32" s="56"/>
      <c r="JSI32" s="57"/>
      <c r="JSJ32" s="54"/>
      <c r="JSK32" s="54"/>
      <c r="JSL32" s="54"/>
      <c r="JSM32" s="58"/>
      <c r="JSN32" s="58"/>
      <c r="JSO32" s="58"/>
      <c r="JSP32" s="58"/>
      <c r="JSQ32" s="59"/>
      <c r="JSR32" s="60"/>
      <c r="JSS32" s="54"/>
      <c r="JST32" s="54"/>
      <c r="JSU32" s="36"/>
      <c r="JSV32" s="55"/>
      <c r="JSW32" s="54"/>
      <c r="JSX32" s="56"/>
      <c r="JSY32" s="57"/>
      <c r="JSZ32" s="54"/>
      <c r="JTA32" s="54"/>
      <c r="JTB32" s="54"/>
      <c r="JTC32" s="58"/>
      <c r="JTD32" s="58"/>
      <c r="JTE32" s="58"/>
      <c r="JTF32" s="58"/>
      <c r="JTG32" s="59"/>
      <c r="JTH32" s="60"/>
      <c r="JTI32" s="54"/>
      <c r="JTJ32" s="54"/>
      <c r="JTK32" s="36"/>
      <c r="JTL32" s="55"/>
      <c r="JTM32" s="54"/>
      <c r="JTN32" s="56"/>
      <c r="JTO32" s="57"/>
      <c r="JTP32" s="54"/>
      <c r="JTQ32" s="54"/>
      <c r="JTR32" s="54"/>
      <c r="JTS32" s="58"/>
      <c r="JTT32" s="58"/>
      <c r="JTU32" s="58"/>
      <c r="JTV32" s="58"/>
      <c r="JTW32" s="59"/>
      <c r="JTX32" s="60"/>
      <c r="JTY32" s="54"/>
      <c r="JTZ32" s="54"/>
      <c r="JUA32" s="36"/>
      <c r="JUB32" s="55"/>
      <c r="JUC32" s="54"/>
      <c r="JUD32" s="56"/>
      <c r="JUE32" s="57"/>
      <c r="JUF32" s="54"/>
      <c r="JUG32" s="54"/>
      <c r="JUH32" s="54"/>
      <c r="JUI32" s="58"/>
      <c r="JUJ32" s="58"/>
      <c r="JUK32" s="58"/>
      <c r="JUL32" s="58"/>
      <c r="JUM32" s="59"/>
      <c r="JUN32" s="60"/>
      <c r="JUO32" s="54"/>
      <c r="JUP32" s="54"/>
      <c r="JUQ32" s="36"/>
      <c r="JUR32" s="55"/>
      <c r="JUS32" s="54"/>
      <c r="JUT32" s="56"/>
      <c r="JUU32" s="57"/>
      <c r="JUV32" s="54"/>
      <c r="JUW32" s="54"/>
      <c r="JUX32" s="54"/>
      <c r="JUY32" s="58"/>
      <c r="JUZ32" s="58"/>
      <c r="JVA32" s="58"/>
      <c r="JVB32" s="58"/>
      <c r="JVC32" s="59"/>
      <c r="JVD32" s="60"/>
      <c r="JVE32" s="54"/>
      <c r="JVF32" s="54"/>
      <c r="JVG32" s="36"/>
      <c r="JVH32" s="55"/>
      <c r="JVI32" s="54"/>
      <c r="JVJ32" s="56"/>
      <c r="JVK32" s="57"/>
      <c r="JVL32" s="54"/>
      <c r="JVM32" s="54"/>
      <c r="JVN32" s="54"/>
      <c r="JVO32" s="58"/>
      <c r="JVP32" s="58"/>
      <c r="JVQ32" s="58"/>
      <c r="JVR32" s="58"/>
      <c r="JVS32" s="59"/>
      <c r="JVT32" s="60"/>
      <c r="JVU32" s="54"/>
      <c r="JVV32" s="54"/>
      <c r="JVW32" s="36"/>
      <c r="JVX32" s="55"/>
      <c r="JVY32" s="54"/>
      <c r="JVZ32" s="56"/>
      <c r="JWA32" s="57"/>
      <c r="JWB32" s="54"/>
      <c r="JWC32" s="54"/>
      <c r="JWD32" s="54"/>
      <c r="JWE32" s="58"/>
      <c r="JWF32" s="58"/>
      <c r="JWG32" s="58"/>
      <c r="JWH32" s="58"/>
      <c r="JWI32" s="59"/>
      <c r="JWJ32" s="60"/>
      <c r="JWK32" s="54"/>
      <c r="JWL32" s="54"/>
      <c r="JWM32" s="36"/>
      <c r="JWN32" s="55"/>
      <c r="JWO32" s="54"/>
      <c r="JWP32" s="56"/>
      <c r="JWQ32" s="57"/>
      <c r="JWR32" s="54"/>
      <c r="JWS32" s="54"/>
      <c r="JWT32" s="54"/>
      <c r="JWU32" s="58"/>
      <c r="JWV32" s="58"/>
      <c r="JWW32" s="58"/>
      <c r="JWX32" s="58"/>
      <c r="JWY32" s="59"/>
      <c r="JWZ32" s="60"/>
      <c r="JXA32" s="54"/>
      <c r="JXB32" s="54"/>
      <c r="JXC32" s="36"/>
      <c r="JXD32" s="55"/>
      <c r="JXE32" s="54"/>
      <c r="JXF32" s="56"/>
      <c r="JXG32" s="57"/>
      <c r="JXH32" s="54"/>
      <c r="JXI32" s="54"/>
      <c r="JXJ32" s="54"/>
      <c r="JXK32" s="58"/>
      <c r="JXL32" s="58"/>
      <c r="JXM32" s="58"/>
      <c r="JXN32" s="58"/>
      <c r="JXO32" s="59"/>
      <c r="JXP32" s="60"/>
      <c r="JXQ32" s="54"/>
      <c r="JXR32" s="54"/>
      <c r="JXS32" s="36"/>
      <c r="JXT32" s="55"/>
      <c r="JXU32" s="54"/>
      <c r="JXV32" s="56"/>
      <c r="JXW32" s="57"/>
      <c r="JXX32" s="54"/>
      <c r="JXY32" s="54"/>
      <c r="JXZ32" s="54"/>
      <c r="JYA32" s="58"/>
      <c r="JYB32" s="58"/>
      <c r="JYC32" s="58"/>
      <c r="JYD32" s="58"/>
      <c r="JYE32" s="59"/>
      <c r="JYF32" s="60"/>
      <c r="JYG32" s="54"/>
      <c r="JYH32" s="54"/>
      <c r="JYI32" s="36"/>
      <c r="JYJ32" s="55"/>
      <c r="JYK32" s="54"/>
      <c r="JYL32" s="56"/>
      <c r="JYM32" s="57"/>
      <c r="JYN32" s="54"/>
      <c r="JYO32" s="54"/>
      <c r="JYP32" s="54"/>
      <c r="JYQ32" s="58"/>
      <c r="JYR32" s="58"/>
      <c r="JYS32" s="58"/>
      <c r="JYT32" s="58"/>
      <c r="JYU32" s="59"/>
      <c r="JYV32" s="60"/>
      <c r="JYW32" s="54"/>
      <c r="JYX32" s="54"/>
      <c r="JYY32" s="36"/>
      <c r="JYZ32" s="55"/>
      <c r="JZA32" s="54"/>
      <c r="JZB32" s="56"/>
      <c r="JZC32" s="57"/>
      <c r="JZD32" s="54"/>
      <c r="JZE32" s="54"/>
      <c r="JZF32" s="54"/>
      <c r="JZG32" s="58"/>
      <c r="JZH32" s="58"/>
      <c r="JZI32" s="58"/>
      <c r="JZJ32" s="58"/>
      <c r="JZK32" s="59"/>
      <c r="JZL32" s="60"/>
      <c r="JZM32" s="54"/>
      <c r="JZN32" s="54"/>
      <c r="JZO32" s="36"/>
      <c r="JZP32" s="55"/>
      <c r="JZQ32" s="54"/>
      <c r="JZR32" s="56"/>
      <c r="JZS32" s="57"/>
      <c r="JZT32" s="54"/>
      <c r="JZU32" s="54"/>
      <c r="JZV32" s="54"/>
      <c r="JZW32" s="58"/>
      <c r="JZX32" s="58"/>
      <c r="JZY32" s="58"/>
      <c r="JZZ32" s="58"/>
      <c r="KAA32" s="59"/>
      <c r="KAB32" s="60"/>
      <c r="KAC32" s="54"/>
      <c r="KAD32" s="54"/>
      <c r="KAE32" s="36"/>
      <c r="KAF32" s="55"/>
      <c r="KAG32" s="54"/>
      <c r="KAH32" s="56"/>
      <c r="KAI32" s="57"/>
      <c r="KAJ32" s="54"/>
      <c r="KAK32" s="54"/>
      <c r="KAL32" s="54"/>
      <c r="KAM32" s="58"/>
      <c r="KAN32" s="58"/>
      <c r="KAO32" s="58"/>
      <c r="KAP32" s="58"/>
      <c r="KAQ32" s="59"/>
      <c r="KAR32" s="60"/>
      <c r="KAS32" s="54"/>
      <c r="KAT32" s="54"/>
      <c r="KAU32" s="36"/>
      <c r="KAV32" s="55"/>
      <c r="KAW32" s="54"/>
      <c r="KAX32" s="56"/>
      <c r="KAY32" s="57"/>
      <c r="KAZ32" s="54"/>
      <c r="KBA32" s="54"/>
      <c r="KBB32" s="54"/>
      <c r="KBC32" s="58"/>
      <c r="KBD32" s="58"/>
      <c r="KBE32" s="58"/>
      <c r="KBF32" s="58"/>
      <c r="KBG32" s="59"/>
      <c r="KBH32" s="60"/>
      <c r="KBI32" s="54"/>
      <c r="KBJ32" s="54"/>
      <c r="KBK32" s="36"/>
      <c r="KBL32" s="55"/>
      <c r="KBM32" s="54"/>
      <c r="KBN32" s="56"/>
      <c r="KBO32" s="57"/>
      <c r="KBP32" s="54"/>
      <c r="KBQ32" s="54"/>
      <c r="KBR32" s="54"/>
      <c r="KBS32" s="58"/>
      <c r="KBT32" s="58"/>
      <c r="KBU32" s="58"/>
      <c r="KBV32" s="58"/>
      <c r="KBW32" s="59"/>
      <c r="KBX32" s="60"/>
      <c r="KBY32" s="54"/>
      <c r="KBZ32" s="54"/>
      <c r="KCA32" s="36"/>
      <c r="KCB32" s="55"/>
      <c r="KCC32" s="54"/>
      <c r="KCD32" s="56"/>
      <c r="KCE32" s="57"/>
      <c r="KCF32" s="54"/>
      <c r="KCG32" s="54"/>
      <c r="KCH32" s="54"/>
      <c r="KCI32" s="58"/>
      <c r="KCJ32" s="58"/>
      <c r="KCK32" s="58"/>
      <c r="KCL32" s="58"/>
      <c r="KCM32" s="59"/>
      <c r="KCN32" s="60"/>
      <c r="KCO32" s="54"/>
      <c r="KCP32" s="54"/>
      <c r="KCQ32" s="36"/>
      <c r="KCR32" s="55"/>
      <c r="KCS32" s="54"/>
      <c r="KCT32" s="56"/>
      <c r="KCU32" s="57"/>
      <c r="KCV32" s="54"/>
      <c r="KCW32" s="54"/>
      <c r="KCX32" s="54"/>
      <c r="KCY32" s="58"/>
      <c r="KCZ32" s="58"/>
      <c r="KDA32" s="58"/>
      <c r="KDB32" s="58"/>
      <c r="KDC32" s="59"/>
      <c r="KDD32" s="60"/>
      <c r="KDE32" s="54"/>
      <c r="KDF32" s="54"/>
      <c r="KDG32" s="36"/>
      <c r="KDH32" s="55"/>
      <c r="KDI32" s="54"/>
      <c r="KDJ32" s="56"/>
      <c r="KDK32" s="57"/>
      <c r="KDL32" s="54"/>
      <c r="KDM32" s="54"/>
      <c r="KDN32" s="54"/>
      <c r="KDO32" s="58"/>
      <c r="KDP32" s="58"/>
      <c r="KDQ32" s="58"/>
      <c r="KDR32" s="58"/>
      <c r="KDS32" s="59"/>
      <c r="KDT32" s="60"/>
      <c r="KDU32" s="54"/>
      <c r="KDV32" s="54"/>
      <c r="KDW32" s="36"/>
      <c r="KDX32" s="55"/>
      <c r="KDY32" s="54"/>
      <c r="KDZ32" s="56"/>
      <c r="KEA32" s="57"/>
      <c r="KEB32" s="54"/>
      <c r="KEC32" s="54"/>
      <c r="KED32" s="54"/>
      <c r="KEE32" s="58"/>
      <c r="KEF32" s="58"/>
      <c r="KEG32" s="58"/>
      <c r="KEH32" s="58"/>
      <c r="KEI32" s="59"/>
      <c r="KEJ32" s="60"/>
      <c r="KEK32" s="54"/>
      <c r="KEL32" s="54"/>
      <c r="KEM32" s="36"/>
      <c r="KEN32" s="55"/>
      <c r="KEO32" s="54"/>
      <c r="KEP32" s="56"/>
      <c r="KEQ32" s="57"/>
      <c r="KER32" s="54"/>
      <c r="KES32" s="54"/>
      <c r="KET32" s="54"/>
      <c r="KEU32" s="58"/>
      <c r="KEV32" s="58"/>
      <c r="KEW32" s="58"/>
      <c r="KEX32" s="58"/>
      <c r="KEY32" s="59"/>
      <c r="KEZ32" s="60"/>
      <c r="KFA32" s="54"/>
      <c r="KFB32" s="54"/>
      <c r="KFC32" s="36"/>
      <c r="KFD32" s="55"/>
      <c r="KFE32" s="54"/>
      <c r="KFF32" s="56"/>
      <c r="KFG32" s="57"/>
      <c r="KFH32" s="54"/>
      <c r="KFI32" s="54"/>
      <c r="KFJ32" s="54"/>
      <c r="KFK32" s="58"/>
      <c r="KFL32" s="58"/>
      <c r="KFM32" s="58"/>
      <c r="KFN32" s="58"/>
      <c r="KFO32" s="59"/>
      <c r="KFP32" s="60"/>
      <c r="KFQ32" s="54"/>
      <c r="KFR32" s="54"/>
      <c r="KFS32" s="36"/>
      <c r="KFT32" s="55"/>
      <c r="KFU32" s="54"/>
      <c r="KFV32" s="56"/>
      <c r="KFW32" s="57"/>
      <c r="KFX32" s="54"/>
      <c r="KFY32" s="54"/>
      <c r="KFZ32" s="54"/>
      <c r="KGA32" s="58"/>
      <c r="KGB32" s="58"/>
      <c r="KGC32" s="58"/>
      <c r="KGD32" s="58"/>
      <c r="KGE32" s="59"/>
      <c r="KGF32" s="60"/>
      <c r="KGG32" s="54"/>
      <c r="KGH32" s="54"/>
      <c r="KGI32" s="36"/>
      <c r="KGJ32" s="55"/>
      <c r="KGK32" s="54"/>
      <c r="KGL32" s="56"/>
      <c r="KGM32" s="57"/>
      <c r="KGN32" s="54"/>
      <c r="KGO32" s="54"/>
      <c r="KGP32" s="54"/>
      <c r="KGQ32" s="58"/>
      <c r="KGR32" s="58"/>
      <c r="KGS32" s="58"/>
      <c r="KGT32" s="58"/>
      <c r="KGU32" s="59"/>
      <c r="KGV32" s="60"/>
      <c r="KGW32" s="54"/>
      <c r="KGX32" s="54"/>
      <c r="KGY32" s="36"/>
      <c r="KGZ32" s="55"/>
      <c r="KHA32" s="54"/>
      <c r="KHB32" s="56"/>
      <c r="KHC32" s="57"/>
      <c r="KHD32" s="54"/>
      <c r="KHE32" s="54"/>
      <c r="KHF32" s="54"/>
      <c r="KHG32" s="58"/>
      <c r="KHH32" s="58"/>
      <c r="KHI32" s="58"/>
      <c r="KHJ32" s="58"/>
      <c r="KHK32" s="59"/>
      <c r="KHL32" s="60"/>
      <c r="KHM32" s="54"/>
      <c r="KHN32" s="54"/>
      <c r="KHO32" s="36"/>
      <c r="KHP32" s="55"/>
      <c r="KHQ32" s="54"/>
      <c r="KHR32" s="56"/>
      <c r="KHS32" s="57"/>
      <c r="KHT32" s="54"/>
      <c r="KHU32" s="54"/>
      <c r="KHV32" s="54"/>
      <c r="KHW32" s="58"/>
      <c r="KHX32" s="58"/>
      <c r="KHY32" s="58"/>
      <c r="KHZ32" s="58"/>
      <c r="KIA32" s="59"/>
      <c r="KIB32" s="60"/>
      <c r="KIC32" s="54"/>
      <c r="KID32" s="54"/>
      <c r="KIE32" s="36"/>
      <c r="KIF32" s="55"/>
      <c r="KIG32" s="54"/>
      <c r="KIH32" s="56"/>
      <c r="KII32" s="57"/>
      <c r="KIJ32" s="54"/>
      <c r="KIK32" s="54"/>
      <c r="KIL32" s="54"/>
      <c r="KIM32" s="58"/>
      <c r="KIN32" s="58"/>
      <c r="KIO32" s="58"/>
      <c r="KIP32" s="58"/>
      <c r="KIQ32" s="59"/>
      <c r="KIR32" s="60"/>
      <c r="KIS32" s="54"/>
      <c r="KIT32" s="54"/>
      <c r="KIU32" s="36"/>
      <c r="KIV32" s="55"/>
      <c r="KIW32" s="54"/>
      <c r="KIX32" s="56"/>
      <c r="KIY32" s="57"/>
      <c r="KIZ32" s="54"/>
      <c r="KJA32" s="54"/>
      <c r="KJB32" s="54"/>
      <c r="KJC32" s="58"/>
      <c r="KJD32" s="58"/>
      <c r="KJE32" s="58"/>
      <c r="KJF32" s="58"/>
      <c r="KJG32" s="59"/>
      <c r="KJH32" s="60"/>
      <c r="KJI32" s="54"/>
      <c r="KJJ32" s="54"/>
      <c r="KJK32" s="36"/>
      <c r="KJL32" s="55"/>
      <c r="KJM32" s="54"/>
      <c r="KJN32" s="56"/>
      <c r="KJO32" s="57"/>
      <c r="KJP32" s="54"/>
      <c r="KJQ32" s="54"/>
      <c r="KJR32" s="54"/>
      <c r="KJS32" s="58"/>
      <c r="KJT32" s="58"/>
      <c r="KJU32" s="58"/>
      <c r="KJV32" s="58"/>
      <c r="KJW32" s="59"/>
      <c r="KJX32" s="60"/>
      <c r="KJY32" s="54"/>
      <c r="KJZ32" s="54"/>
      <c r="KKA32" s="36"/>
      <c r="KKB32" s="55"/>
      <c r="KKC32" s="54"/>
      <c r="KKD32" s="56"/>
      <c r="KKE32" s="57"/>
      <c r="KKF32" s="54"/>
      <c r="KKG32" s="54"/>
      <c r="KKH32" s="54"/>
      <c r="KKI32" s="58"/>
      <c r="KKJ32" s="58"/>
      <c r="KKK32" s="58"/>
      <c r="KKL32" s="58"/>
      <c r="KKM32" s="59"/>
      <c r="KKN32" s="60"/>
      <c r="KKO32" s="54"/>
      <c r="KKP32" s="54"/>
      <c r="KKQ32" s="36"/>
      <c r="KKR32" s="55"/>
      <c r="KKS32" s="54"/>
      <c r="KKT32" s="56"/>
      <c r="KKU32" s="57"/>
      <c r="KKV32" s="54"/>
      <c r="KKW32" s="54"/>
      <c r="KKX32" s="54"/>
      <c r="KKY32" s="58"/>
      <c r="KKZ32" s="58"/>
      <c r="KLA32" s="58"/>
      <c r="KLB32" s="58"/>
      <c r="KLC32" s="59"/>
      <c r="KLD32" s="60"/>
      <c r="KLE32" s="54"/>
      <c r="KLF32" s="54"/>
      <c r="KLG32" s="36"/>
      <c r="KLH32" s="55"/>
      <c r="KLI32" s="54"/>
      <c r="KLJ32" s="56"/>
      <c r="KLK32" s="57"/>
      <c r="KLL32" s="54"/>
      <c r="KLM32" s="54"/>
      <c r="KLN32" s="54"/>
      <c r="KLO32" s="58"/>
      <c r="KLP32" s="58"/>
      <c r="KLQ32" s="58"/>
      <c r="KLR32" s="58"/>
      <c r="KLS32" s="59"/>
      <c r="KLT32" s="60"/>
      <c r="KLU32" s="54"/>
      <c r="KLV32" s="54"/>
      <c r="KLW32" s="36"/>
      <c r="KLX32" s="55"/>
      <c r="KLY32" s="54"/>
      <c r="KLZ32" s="56"/>
      <c r="KMA32" s="57"/>
      <c r="KMB32" s="54"/>
      <c r="KMC32" s="54"/>
      <c r="KMD32" s="54"/>
      <c r="KME32" s="58"/>
      <c r="KMF32" s="58"/>
      <c r="KMG32" s="58"/>
      <c r="KMH32" s="58"/>
      <c r="KMI32" s="59"/>
      <c r="KMJ32" s="60"/>
      <c r="KMK32" s="54"/>
      <c r="KML32" s="54"/>
      <c r="KMM32" s="36"/>
      <c r="KMN32" s="55"/>
      <c r="KMO32" s="54"/>
      <c r="KMP32" s="56"/>
      <c r="KMQ32" s="57"/>
      <c r="KMR32" s="54"/>
      <c r="KMS32" s="54"/>
      <c r="KMT32" s="54"/>
      <c r="KMU32" s="58"/>
      <c r="KMV32" s="58"/>
      <c r="KMW32" s="58"/>
      <c r="KMX32" s="58"/>
      <c r="KMY32" s="59"/>
      <c r="KMZ32" s="60"/>
      <c r="KNA32" s="54"/>
      <c r="KNB32" s="54"/>
      <c r="KNC32" s="36"/>
      <c r="KND32" s="55"/>
      <c r="KNE32" s="54"/>
      <c r="KNF32" s="56"/>
      <c r="KNG32" s="57"/>
      <c r="KNH32" s="54"/>
      <c r="KNI32" s="54"/>
      <c r="KNJ32" s="54"/>
      <c r="KNK32" s="58"/>
      <c r="KNL32" s="58"/>
      <c r="KNM32" s="58"/>
      <c r="KNN32" s="58"/>
      <c r="KNO32" s="59"/>
      <c r="KNP32" s="60"/>
      <c r="KNQ32" s="54"/>
      <c r="KNR32" s="54"/>
      <c r="KNS32" s="36"/>
      <c r="KNT32" s="55"/>
      <c r="KNU32" s="54"/>
      <c r="KNV32" s="56"/>
      <c r="KNW32" s="57"/>
      <c r="KNX32" s="54"/>
      <c r="KNY32" s="54"/>
      <c r="KNZ32" s="54"/>
      <c r="KOA32" s="58"/>
      <c r="KOB32" s="58"/>
      <c r="KOC32" s="58"/>
      <c r="KOD32" s="58"/>
      <c r="KOE32" s="59"/>
      <c r="KOF32" s="60"/>
      <c r="KOG32" s="54"/>
      <c r="KOH32" s="54"/>
      <c r="KOI32" s="36"/>
      <c r="KOJ32" s="55"/>
      <c r="KOK32" s="54"/>
      <c r="KOL32" s="56"/>
      <c r="KOM32" s="57"/>
      <c r="KON32" s="54"/>
      <c r="KOO32" s="54"/>
      <c r="KOP32" s="54"/>
      <c r="KOQ32" s="58"/>
      <c r="KOR32" s="58"/>
      <c r="KOS32" s="58"/>
      <c r="KOT32" s="58"/>
      <c r="KOU32" s="59"/>
      <c r="KOV32" s="60"/>
      <c r="KOW32" s="54"/>
      <c r="KOX32" s="54"/>
      <c r="KOY32" s="36"/>
      <c r="KOZ32" s="55"/>
      <c r="KPA32" s="54"/>
      <c r="KPB32" s="56"/>
      <c r="KPC32" s="57"/>
      <c r="KPD32" s="54"/>
      <c r="KPE32" s="54"/>
      <c r="KPF32" s="54"/>
      <c r="KPG32" s="58"/>
      <c r="KPH32" s="58"/>
      <c r="KPI32" s="58"/>
      <c r="KPJ32" s="58"/>
      <c r="KPK32" s="59"/>
      <c r="KPL32" s="60"/>
      <c r="KPM32" s="54"/>
      <c r="KPN32" s="54"/>
      <c r="KPO32" s="36"/>
      <c r="KPP32" s="55"/>
      <c r="KPQ32" s="54"/>
      <c r="KPR32" s="56"/>
      <c r="KPS32" s="57"/>
      <c r="KPT32" s="54"/>
      <c r="KPU32" s="54"/>
      <c r="KPV32" s="54"/>
      <c r="KPW32" s="58"/>
      <c r="KPX32" s="58"/>
      <c r="KPY32" s="58"/>
      <c r="KPZ32" s="58"/>
      <c r="KQA32" s="59"/>
      <c r="KQB32" s="60"/>
      <c r="KQC32" s="54"/>
      <c r="KQD32" s="54"/>
      <c r="KQE32" s="36"/>
      <c r="KQF32" s="55"/>
      <c r="KQG32" s="54"/>
      <c r="KQH32" s="56"/>
      <c r="KQI32" s="57"/>
      <c r="KQJ32" s="54"/>
      <c r="KQK32" s="54"/>
      <c r="KQL32" s="54"/>
      <c r="KQM32" s="58"/>
      <c r="KQN32" s="58"/>
      <c r="KQO32" s="58"/>
      <c r="KQP32" s="58"/>
      <c r="KQQ32" s="59"/>
      <c r="KQR32" s="60"/>
      <c r="KQS32" s="54"/>
      <c r="KQT32" s="54"/>
      <c r="KQU32" s="36"/>
      <c r="KQV32" s="55"/>
      <c r="KQW32" s="54"/>
      <c r="KQX32" s="56"/>
      <c r="KQY32" s="57"/>
      <c r="KQZ32" s="54"/>
      <c r="KRA32" s="54"/>
      <c r="KRB32" s="54"/>
      <c r="KRC32" s="58"/>
      <c r="KRD32" s="58"/>
      <c r="KRE32" s="58"/>
      <c r="KRF32" s="58"/>
      <c r="KRG32" s="59"/>
      <c r="KRH32" s="60"/>
      <c r="KRI32" s="54"/>
      <c r="KRJ32" s="54"/>
      <c r="KRK32" s="36"/>
      <c r="KRL32" s="55"/>
      <c r="KRM32" s="54"/>
      <c r="KRN32" s="56"/>
      <c r="KRO32" s="57"/>
      <c r="KRP32" s="54"/>
      <c r="KRQ32" s="54"/>
      <c r="KRR32" s="54"/>
      <c r="KRS32" s="58"/>
      <c r="KRT32" s="58"/>
      <c r="KRU32" s="58"/>
      <c r="KRV32" s="58"/>
      <c r="KRW32" s="59"/>
      <c r="KRX32" s="60"/>
      <c r="KRY32" s="54"/>
      <c r="KRZ32" s="54"/>
      <c r="KSA32" s="36"/>
      <c r="KSB32" s="55"/>
      <c r="KSC32" s="54"/>
      <c r="KSD32" s="56"/>
      <c r="KSE32" s="57"/>
      <c r="KSF32" s="54"/>
      <c r="KSG32" s="54"/>
      <c r="KSH32" s="54"/>
      <c r="KSI32" s="58"/>
      <c r="KSJ32" s="58"/>
      <c r="KSK32" s="58"/>
      <c r="KSL32" s="58"/>
      <c r="KSM32" s="59"/>
      <c r="KSN32" s="60"/>
      <c r="KSO32" s="54"/>
      <c r="KSP32" s="54"/>
      <c r="KSQ32" s="36"/>
      <c r="KSR32" s="55"/>
      <c r="KSS32" s="54"/>
      <c r="KST32" s="56"/>
      <c r="KSU32" s="57"/>
      <c r="KSV32" s="54"/>
      <c r="KSW32" s="54"/>
      <c r="KSX32" s="54"/>
      <c r="KSY32" s="58"/>
      <c r="KSZ32" s="58"/>
      <c r="KTA32" s="58"/>
      <c r="KTB32" s="58"/>
      <c r="KTC32" s="59"/>
      <c r="KTD32" s="60"/>
      <c r="KTE32" s="54"/>
      <c r="KTF32" s="54"/>
      <c r="KTG32" s="36"/>
      <c r="KTH32" s="55"/>
      <c r="KTI32" s="54"/>
      <c r="KTJ32" s="56"/>
      <c r="KTK32" s="57"/>
      <c r="KTL32" s="54"/>
      <c r="KTM32" s="54"/>
      <c r="KTN32" s="54"/>
      <c r="KTO32" s="58"/>
      <c r="KTP32" s="58"/>
      <c r="KTQ32" s="58"/>
      <c r="KTR32" s="58"/>
      <c r="KTS32" s="59"/>
      <c r="KTT32" s="60"/>
      <c r="KTU32" s="54"/>
      <c r="KTV32" s="54"/>
      <c r="KTW32" s="36"/>
      <c r="KTX32" s="55"/>
      <c r="KTY32" s="54"/>
      <c r="KTZ32" s="56"/>
      <c r="KUA32" s="57"/>
      <c r="KUB32" s="54"/>
      <c r="KUC32" s="54"/>
      <c r="KUD32" s="54"/>
      <c r="KUE32" s="58"/>
      <c r="KUF32" s="58"/>
      <c r="KUG32" s="58"/>
      <c r="KUH32" s="58"/>
      <c r="KUI32" s="59"/>
      <c r="KUJ32" s="60"/>
      <c r="KUK32" s="54"/>
      <c r="KUL32" s="54"/>
      <c r="KUM32" s="36"/>
      <c r="KUN32" s="55"/>
      <c r="KUO32" s="54"/>
      <c r="KUP32" s="56"/>
      <c r="KUQ32" s="57"/>
      <c r="KUR32" s="54"/>
      <c r="KUS32" s="54"/>
      <c r="KUT32" s="54"/>
      <c r="KUU32" s="58"/>
      <c r="KUV32" s="58"/>
      <c r="KUW32" s="58"/>
      <c r="KUX32" s="58"/>
      <c r="KUY32" s="59"/>
      <c r="KUZ32" s="60"/>
      <c r="KVA32" s="54"/>
      <c r="KVB32" s="54"/>
      <c r="KVC32" s="36"/>
      <c r="KVD32" s="55"/>
      <c r="KVE32" s="54"/>
      <c r="KVF32" s="56"/>
      <c r="KVG32" s="57"/>
      <c r="KVH32" s="54"/>
      <c r="KVI32" s="54"/>
      <c r="KVJ32" s="54"/>
      <c r="KVK32" s="58"/>
      <c r="KVL32" s="58"/>
      <c r="KVM32" s="58"/>
      <c r="KVN32" s="58"/>
      <c r="KVO32" s="59"/>
      <c r="KVP32" s="60"/>
      <c r="KVQ32" s="54"/>
      <c r="KVR32" s="54"/>
      <c r="KVS32" s="36"/>
      <c r="KVT32" s="55"/>
      <c r="KVU32" s="54"/>
      <c r="KVV32" s="56"/>
      <c r="KVW32" s="57"/>
      <c r="KVX32" s="54"/>
      <c r="KVY32" s="54"/>
      <c r="KVZ32" s="54"/>
      <c r="KWA32" s="58"/>
      <c r="KWB32" s="58"/>
      <c r="KWC32" s="58"/>
      <c r="KWD32" s="58"/>
      <c r="KWE32" s="59"/>
      <c r="KWF32" s="60"/>
      <c r="KWG32" s="54"/>
      <c r="KWH32" s="54"/>
      <c r="KWI32" s="36"/>
      <c r="KWJ32" s="55"/>
      <c r="KWK32" s="54"/>
      <c r="KWL32" s="56"/>
      <c r="KWM32" s="57"/>
      <c r="KWN32" s="54"/>
      <c r="KWO32" s="54"/>
      <c r="KWP32" s="54"/>
      <c r="KWQ32" s="58"/>
      <c r="KWR32" s="58"/>
      <c r="KWS32" s="58"/>
      <c r="KWT32" s="58"/>
      <c r="KWU32" s="59"/>
      <c r="KWV32" s="60"/>
      <c r="KWW32" s="54"/>
      <c r="KWX32" s="54"/>
      <c r="KWY32" s="36"/>
      <c r="KWZ32" s="55"/>
      <c r="KXA32" s="54"/>
      <c r="KXB32" s="56"/>
      <c r="KXC32" s="57"/>
      <c r="KXD32" s="54"/>
      <c r="KXE32" s="54"/>
      <c r="KXF32" s="54"/>
      <c r="KXG32" s="58"/>
      <c r="KXH32" s="58"/>
      <c r="KXI32" s="58"/>
      <c r="KXJ32" s="58"/>
      <c r="KXK32" s="59"/>
      <c r="KXL32" s="60"/>
      <c r="KXM32" s="54"/>
      <c r="KXN32" s="54"/>
      <c r="KXO32" s="36"/>
      <c r="KXP32" s="55"/>
      <c r="KXQ32" s="54"/>
      <c r="KXR32" s="56"/>
      <c r="KXS32" s="57"/>
      <c r="KXT32" s="54"/>
      <c r="KXU32" s="54"/>
      <c r="KXV32" s="54"/>
      <c r="KXW32" s="58"/>
      <c r="KXX32" s="58"/>
      <c r="KXY32" s="58"/>
      <c r="KXZ32" s="58"/>
      <c r="KYA32" s="59"/>
      <c r="KYB32" s="60"/>
      <c r="KYC32" s="54"/>
      <c r="KYD32" s="54"/>
      <c r="KYE32" s="36"/>
      <c r="KYF32" s="55"/>
      <c r="KYG32" s="54"/>
      <c r="KYH32" s="56"/>
      <c r="KYI32" s="57"/>
      <c r="KYJ32" s="54"/>
      <c r="KYK32" s="54"/>
      <c r="KYL32" s="54"/>
      <c r="KYM32" s="58"/>
      <c r="KYN32" s="58"/>
      <c r="KYO32" s="58"/>
      <c r="KYP32" s="58"/>
      <c r="KYQ32" s="59"/>
      <c r="KYR32" s="60"/>
      <c r="KYS32" s="54"/>
      <c r="KYT32" s="54"/>
      <c r="KYU32" s="36"/>
      <c r="KYV32" s="55"/>
      <c r="KYW32" s="54"/>
      <c r="KYX32" s="56"/>
      <c r="KYY32" s="57"/>
      <c r="KYZ32" s="54"/>
      <c r="KZA32" s="54"/>
      <c r="KZB32" s="54"/>
      <c r="KZC32" s="58"/>
      <c r="KZD32" s="58"/>
      <c r="KZE32" s="58"/>
      <c r="KZF32" s="58"/>
      <c r="KZG32" s="59"/>
      <c r="KZH32" s="60"/>
      <c r="KZI32" s="54"/>
      <c r="KZJ32" s="54"/>
      <c r="KZK32" s="36"/>
      <c r="KZL32" s="55"/>
      <c r="KZM32" s="54"/>
      <c r="KZN32" s="56"/>
      <c r="KZO32" s="57"/>
      <c r="KZP32" s="54"/>
      <c r="KZQ32" s="54"/>
      <c r="KZR32" s="54"/>
      <c r="KZS32" s="58"/>
      <c r="KZT32" s="58"/>
      <c r="KZU32" s="58"/>
      <c r="KZV32" s="58"/>
      <c r="KZW32" s="59"/>
      <c r="KZX32" s="60"/>
      <c r="KZY32" s="54"/>
      <c r="KZZ32" s="54"/>
      <c r="LAA32" s="36"/>
      <c r="LAB32" s="55"/>
      <c r="LAC32" s="54"/>
      <c r="LAD32" s="56"/>
      <c r="LAE32" s="57"/>
      <c r="LAF32" s="54"/>
      <c r="LAG32" s="54"/>
      <c r="LAH32" s="54"/>
      <c r="LAI32" s="58"/>
      <c r="LAJ32" s="58"/>
      <c r="LAK32" s="58"/>
      <c r="LAL32" s="58"/>
      <c r="LAM32" s="59"/>
      <c r="LAN32" s="60"/>
      <c r="LAO32" s="54"/>
      <c r="LAP32" s="54"/>
      <c r="LAQ32" s="36"/>
      <c r="LAR32" s="55"/>
      <c r="LAS32" s="54"/>
      <c r="LAT32" s="56"/>
      <c r="LAU32" s="57"/>
      <c r="LAV32" s="54"/>
      <c r="LAW32" s="54"/>
      <c r="LAX32" s="54"/>
      <c r="LAY32" s="58"/>
      <c r="LAZ32" s="58"/>
      <c r="LBA32" s="58"/>
      <c r="LBB32" s="58"/>
      <c r="LBC32" s="59"/>
      <c r="LBD32" s="60"/>
      <c r="LBE32" s="54"/>
      <c r="LBF32" s="54"/>
      <c r="LBG32" s="36"/>
      <c r="LBH32" s="55"/>
      <c r="LBI32" s="54"/>
      <c r="LBJ32" s="56"/>
      <c r="LBK32" s="57"/>
      <c r="LBL32" s="54"/>
      <c r="LBM32" s="54"/>
      <c r="LBN32" s="54"/>
      <c r="LBO32" s="58"/>
      <c r="LBP32" s="58"/>
      <c r="LBQ32" s="58"/>
      <c r="LBR32" s="58"/>
      <c r="LBS32" s="59"/>
      <c r="LBT32" s="60"/>
      <c r="LBU32" s="54"/>
      <c r="LBV32" s="54"/>
      <c r="LBW32" s="36"/>
      <c r="LBX32" s="55"/>
      <c r="LBY32" s="54"/>
      <c r="LBZ32" s="56"/>
      <c r="LCA32" s="57"/>
      <c r="LCB32" s="54"/>
      <c r="LCC32" s="54"/>
      <c r="LCD32" s="54"/>
      <c r="LCE32" s="58"/>
      <c r="LCF32" s="58"/>
      <c r="LCG32" s="58"/>
      <c r="LCH32" s="58"/>
      <c r="LCI32" s="59"/>
      <c r="LCJ32" s="60"/>
      <c r="LCK32" s="54"/>
      <c r="LCL32" s="54"/>
      <c r="LCM32" s="36"/>
      <c r="LCN32" s="55"/>
      <c r="LCO32" s="54"/>
      <c r="LCP32" s="56"/>
      <c r="LCQ32" s="57"/>
      <c r="LCR32" s="54"/>
      <c r="LCS32" s="54"/>
      <c r="LCT32" s="54"/>
      <c r="LCU32" s="58"/>
      <c r="LCV32" s="58"/>
      <c r="LCW32" s="58"/>
      <c r="LCX32" s="58"/>
      <c r="LCY32" s="59"/>
      <c r="LCZ32" s="60"/>
      <c r="LDA32" s="54"/>
      <c r="LDB32" s="54"/>
      <c r="LDC32" s="36"/>
      <c r="LDD32" s="55"/>
      <c r="LDE32" s="54"/>
      <c r="LDF32" s="56"/>
      <c r="LDG32" s="57"/>
      <c r="LDH32" s="54"/>
      <c r="LDI32" s="54"/>
      <c r="LDJ32" s="54"/>
      <c r="LDK32" s="58"/>
      <c r="LDL32" s="58"/>
      <c r="LDM32" s="58"/>
      <c r="LDN32" s="58"/>
      <c r="LDO32" s="59"/>
      <c r="LDP32" s="60"/>
      <c r="LDQ32" s="54"/>
      <c r="LDR32" s="54"/>
      <c r="LDS32" s="36"/>
      <c r="LDT32" s="55"/>
      <c r="LDU32" s="54"/>
      <c r="LDV32" s="56"/>
      <c r="LDW32" s="57"/>
      <c r="LDX32" s="54"/>
      <c r="LDY32" s="54"/>
      <c r="LDZ32" s="54"/>
      <c r="LEA32" s="58"/>
      <c r="LEB32" s="58"/>
      <c r="LEC32" s="58"/>
      <c r="LED32" s="58"/>
      <c r="LEE32" s="59"/>
      <c r="LEF32" s="60"/>
      <c r="LEG32" s="54"/>
      <c r="LEH32" s="54"/>
      <c r="LEI32" s="36"/>
      <c r="LEJ32" s="55"/>
      <c r="LEK32" s="54"/>
      <c r="LEL32" s="56"/>
      <c r="LEM32" s="57"/>
      <c r="LEN32" s="54"/>
      <c r="LEO32" s="54"/>
      <c r="LEP32" s="54"/>
      <c r="LEQ32" s="58"/>
      <c r="LER32" s="58"/>
      <c r="LES32" s="58"/>
      <c r="LET32" s="58"/>
      <c r="LEU32" s="59"/>
      <c r="LEV32" s="60"/>
      <c r="LEW32" s="54"/>
      <c r="LEX32" s="54"/>
      <c r="LEY32" s="36"/>
      <c r="LEZ32" s="55"/>
      <c r="LFA32" s="54"/>
      <c r="LFB32" s="56"/>
      <c r="LFC32" s="57"/>
      <c r="LFD32" s="54"/>
      <c r="LFE32" s="54"/>
      <c r="LFF32" s="54"/>
      <c r="LFG32" s="58"/>
      <c r="LFH32" s="58"/>
      <c r="LFI32" s="58"/>
      <c r="LFJ32" s="58"/>
      <c r="LFK32" s="59"/>
      <c r="LFL32" s="60"/>
      <c r="LFM32" s="54"/>
      <c r="LFN32" s="54"/>
      <c r="LFO32" s="36"/>
      <c r="LFP32" s="55"/>
      <c r="LFQ32" s="54"/>
      <c r="LFR32" s="56"/>
      <c r="LFS32" s="57"/>
      <c r="LFT32" s="54"/>
      <c r="LFU32" s="54"/>
      <c r="LFV32" s="54"/>
      <c r="LFW32" s="58"/>
      <c r="LFX32" s="58"/>
      <c r="LFY32" s="58"/>
      <c r="LFZ32" s="58"/>
      <c r="LGA32" s="59"/>
      <c r="LGB32" s="60"/>
      <c r="LGC32" s="54"/>
      <c r="LGD32" s="54"/>
      <c r="LGE32" s="36"/>
      <c r="LGF32" s="55"/>
      <c r="LGG32" s="54"/>
      <c r="LGH32" s="56"/>
      <c r="LGI32" s="57"/>
      <c r="LGJ32" s="54"/>
      <c r="LGK32" s="54"/>
      <c r="LGL32" s="54"/>
      <c r="LGM32" s="58"/>
      <c r="LGN32" s="58"/>
      <c r="LGO32" s="58"/>
      <c r="LGP32" s="58"/>
      <c r="LGQ32" s="59"/>
      <c r="LGR32" s="60"/>
      <c r="LGS32" s="54"/>
      <c r="LGT32" s="54"/>
      <c r="LGU32" s="36"/>
      <c r="LGV32" s="55"/>
      <c r="LGW32" s="54"/>
      <c r="LGX32" s="56"/>
      <c r="LGY32" s="57"/>
      <c r="LGZ32" s="54"/>
      <c r="LHA32" s="54"/>
      <c r="LHB32" s="54"/>
      <c r="LHC32" s="58"/>
      <c r="LHD32" s="58"/>
      <c r="LHE32" s="58"/>
      <c r="LHF32" s="58"/>
      <c r="LHG32" s="59"/>
      <c r="LHH32" s="60"/>
      <c r="LHI32" s="54"/>
      <c r="LHJ32" s="54"/>
      <c r="LHK32" s="36"/>
      <c r="LHL32" s="55"/>
      <c r="LHM32" s="54"/>
      <c r="LHN32" s="56"/>
      <c r="LHO32" s="57"/>
      <c r="LHP32" s="54"/>
      <c r="LHQ32" s="54"/>
      <c r="LHR32" s="54"/>
      <c r="LHS32" s="58"/>
      <c r="LHT32" s="58"/>
      <c r="LHU32" s="58"/>
      <c r="LHV32" s="58"/>
      <c r="LHW32" s="59"/>
      <c r="LHX32" s="60"/>
      <c r="LHY32" s="54"/>
      <c r="LHZ32" s="54"/>
      <c r="LIA32" s="36"/>
      <c r="LIB32" s="55"/>
      <c r="LIC32" s="54"/>
      <c r="LID32" s="56"/>
      <c r="LIE32" s="57"/>
      <c r="LIF32" s="54"/>
      <c r="LIG32" s="54"/>
      <c r="LIH32" s="54"/>
      <c r="LII32" s="58"/>
      <c r="LIJ32" s="58"/>
      <c r="LIK32" s="58"/>
      <c r="LIL32" s="58"/>
      <c r="LIM32" s="59"/>
      <c r="LIN32" s="60"/>
      <c r="LIO32" s="54"/>
      <c r="LIP32" s="54"/>
      <c r="LIQ32" s="36"/>
      <c r="LIR32" s="55"/>
      <c r="LIS32" s="54"/>
      <c r="LIT32" s="56"/>
      <c r="LIU32" s="57"/>
      <c r="LIV32" s="54"/>
      <c r="LIW32" s="54"/>
      <c r="LIX32" s="54"/>
      <c r="LIY32" s="58"/>
      <c r="LIZ32" s="58"/>
      <c r="LJA32" s="58"/>
      <c r="LJB32" s="58"/>
      <c r="LJC32" s="59"/>
      <c r="LJD32" s="60"/>
      <c r="LJE32" s="54"/>
      <c r="LJF32" s="54"/>
      <c r="LJG32" s="36"/>
      <c r="LJH32" s="55"/>
      <c r="LJI32" s="54"/>
      <c r="LJJ32" s="56"/>
      <c r="LJK32" s="57"/>
      <c r="LJL32" s="54"/>
      <c r="LJM32" s="54"/>
      <c r="LJN32" s="54"/>
      <c r="LJO32" s="58"/>
      <c r="LJP32" s="58"/>
      <c r="LJQ32" s="58"/>
      <c r="LJR32" s="58"/>
      <c r="LJS32" s="59"/>
      <c r="LJT32" s="60"/>
      <c r="LJU32" s="54"/>
      <c r="LJV32" s="54"/>
      <c r="LJW32" s="36"/>
      <c r="LJX32" s="55"/>
      <c r="LJY32" s="54"/>
      <c r="LJZ32" s="56"/>
      <c r="LKA32" s="57"/>
      <c r="LKB32" s="54"/>
      <c r="LKC32" s="54"/>
      <c r="LKD32" s="54"/>
      <c r="LKE32" s="58"/>
      <c r="LKF32" s="58"/>
      <c r="LKG32" s="58"/>
      <c r="LKH32" s="58"/>
      <c r="LKI32" s="59"/>
      <c r="LKJ32" s="60"/>
      <c r="LKK32" s="54"/>
      <c r="LKL32" s="54"/>
      <c r="LKM32" s="36"/>
      <c r="LKN32" s="55"/>
      <c r="LKO32" s="54"/>
      <c r="LKP32" s="56"/>
      <c r="LKQ32" s="57"/>
      <c r="LKR32" s="54"/>
      <c r="LKS32" s="54"/>
      <c r="LKT32" s="54"/>
      <c r="LKU32" s="58"/>
      <c r="LKV32" s="58"/>
      <c r="LKW32" s="58"/>
      <c r="LKX32" s="58"/>
      <c r="LKY32" s="59"/>
      <c r="LKZ32" s="60"/>
      <c r="LLA32" s="54"/>
      <c r="LLB32" s="54"/>
      <c r="LLC32" s="36"/>
      <c r="LLD32" s="55"/>
      <c r="LLE32" s="54"/>
      <c r="LLF32" s="56"/>
      <c r="LLG32" s="57"/>
      <c r="LLH32" s="54"/>
      <c r="LLI32" s="54"/>
      <c r="LLJ32" s="54"/>
      <c r="LLK32" s="58"/>
      <c r="LLL32" s="58"/>
      <c r="LLM32" s="58"/>
      <c r="LLN32" s="58"/>
      <c r="LLO32" s="59"/>
      <c r="LLP32" s="60"/>
      <c r="LLQ32" s="54"/>
      <c r="LLR32" s="54"/>
      <c r="LLS32" s="36"/>
      <c r="LLT32" s="55"/>
      <c r="LLU32" s="54"/>
      <c r="LLV32" s="56"/>
      <c r="LLW32" s="57"/>
      <c r="LLX32" s="54"/>
      <c r="LLY32" s="54"/>
      <c r="LLZ32" s="54"/>
      <c r="LMA32" s="58"/>
      <c r="LMB32" s="58"/>
      <c r="LMC32" s="58"/>
      <c r="LMD32" s="58"/>
      <c r="LME32" s="59"/>
      <c r="LMF32" s="60"/>
      <c r="LMG32" s="54"/>
      <c r="LMH32" s="54"/>
      <c r="LMI32" s="36"/>
      <c r="LMJ32" s="55"/>
      <c r="LMK32" s="54"/>
      <c r="LML32" s="56"/>
      <c r="LMM32" s="57"/>
      <c r="LMN32" s="54"/>
      <c r="LMO32" s="54"/>
      <c r="LMP32" s="54"/>
      <c r="LMQ32" s="58"/>
      <c r="LMR32" s="58"/>
      <c r="LMS32" s="58"/>
      <c r="LMT32" s="58"/>
      <c r="LMU32" s="59"/>
      <c r="LMV32" s="60"/>
      <c r="LMW32" s="54"/>
      <c r="LMX32" s="54"/>
      <c r="LMY32" s="36"/>
      <c r="LMZ32" s="55"/>
      <c r="LNA32" s="54"/>
      <c r="LNB32" s="56"/>
      <c r="LNC32" s="57"/>
      <c r="LND32" s="54"/>
      <c r="LNE32" s="54"/>
      <c r="LNF32" s="54"/>
      <c r="LNG32" s="58"/>
      <c r="LNH32" s="58"/>
      <c r="LNI32" s="58"/>
      <c r="LNJ32" s="58"/>
      <c r="LNK32" s="59"/>
      <c r="LNL32" s="60"/>
      <c r="LNM32" s="54"/>
      <c r="LNN32" s="54"/>
      <c r="LNO32" s="36"/>
      <c r="LNP32" s="55"/>
      <c r="LNQ32" s="54"/>
      <c r="LNR32" s="56"/>
      <c r="LNS32" s="57"/>
      <c r="LNT32" s="54"/>
      <c r="LNU32" s="54"/>
      <c r="LNV32" s="54"/>
      <c r="LNW32" s="58"/>
      <c r="LNX32" s="58"/>
      <c r="LNY32" s="58"/>
      <c r="LNZ32" s="58"/>
      <c r="LOA32" s="59"/>
      <c r="LOB32" s="60"/>
      <c r="LOC32" s="54"/>
      <c r="LOD32" s="54"/>
      <c r="LOE32" s="36"/>
      <c r="LOF32" s="55"/>
      <c r="LOG32" s="54"/>
      <c r="LOH32" s="56"/>
      <c r="LOI32" s="57"/>
      <c r="LOJ32" s="54"/>
      <c r="LOK32" s="54"/>
      <c r="LOL32" s="54"/>
      <c r="LOM32" s="58"/>
      <c r="LON32" s="58"/>
      <c r="LOO32" s="58"/>
      <c r="LOP32" s="58"/>
      <c r="LOQ32" s="59"/>
      <c r="LOR32" s="60"/>
      <c r="LOS32" s="54"/>
      <c r="LOT32" s="54"/>
      <c r="LOU32" s="36"/>
      <c r="LOV32" s="55"/>
      <c r="LOW32" s="54"/>
      <c r="LOX32" s="56"/>
      <c r="LOY32" s="57"/>
      <c r="LOZ32" s="54"/>
      <c r="LPA32" s="54"/>
      <c r="LPB32" s="54"/>
      <c r="LPC32" s="58"/>
      <c r="LPD32" s="58"/>
      <c r="LPE32" s="58"/>
      <c r="LPF32" s="58"/>
      <c r="LPG32" s="59"/>
      <c r="LPH32" s="60"/>
      <c r="LPI32" s="54"/>
      <c r="LPJ32" s="54"/>
      <c r="LPK32" s="36"/>
      <c r="LPL32" s="55"/>
      <c r="LPM32" s="54"/>
      <c r="LPN32" s="56"/>
      <c r="LPO32" s="57"/>
      <c r="LPP32" s="54"/>
      <c r="LPQ32" s="54"/>
      <c r="LPR32" s="54"/>
      <c r="LPS32" s="58"/>
      <c r="LPT32" s="58"/>
      <c r="LPU32" s="58"/>
      <c r="LPV32" s="58"/>
      <c r="LPW32" s="59"/>
      <c r="LPX32" s="60"/>
      <c r="LPY32" s="54"/>
      <c r="LPZ32" s="54"/>
      <c r="LQA32" s="36"/>
      <c r="LQB32" s="55"/>
      <c r="LQC32" s="54"/>
      <c r="LQD32" s="56"/>
      <c r="LQE32" s="57"/>
      <c r="LQF32" s="54"/>
      <c r="LQG32" s="54"/>
      <c r="LQH32" s="54"/>
      <c r="LQI32" s="58"/>
      <c r="LQJ32" s="58"/>
      <c r="LQK32" s="58"/>
      <c r="LQL32" s="58"/>
      <c r="LQM32" s="59"/>
      <c r="LQN32" s="60"/>
      <c r="LQO32" s="54"/>
      <c r="LQP32" s="54"/>
      <c r="LQQ32" s="36"/>
      <c r="LQR32" s="55"/>
      <c r="LQS32" s="54"/>
      <c r="LQT32" s="56"/>
      <c r="LQU32" s="57"/>
      <c r="LQV32" s="54"/>
      <c r="LQW32" s="54"/>
      <c r="LQX32" s="54"/>
      <c r="LQY32" s="58"/>
      <c r="LQZ32" s="58"/>
      <c r="LRA32" s="58"/>
      <c r="LRB32" s="58"/>
      <c r="LRC32" s="59"/>
      <c r="LRD32" s="60"/>
      <c r="LRE32" s="54"/>
      <c r="LRF32" s="54"/>
      <c r="LRG32" s="36"/>
      <c r="LRH32" s="55"/>
      <c r="LRI32" s="54"/>
      <c r="LRJ32" s="56"/>
      <c r="LRK32" s="57"/>
      <c r="LRL32" s="54"/>
      <c r="LRM32" s="54"/>
      <c r="LRN32" s="54"/>
      <c r="LRO32" s="58"/>
      <c r="LRP32" s="58"/>
      <c r="LRQ32" s="58"/>
      <c r="LRR32" s="58"/>
      <c r="LRS32" s="59"/>
      <c r="LRT32" s="60"/>
      <c r="LRU32" s="54"/>
      <c r="LRV32" s="54"/>
      <c r="LRW32" s="36"/>
      <c r="LRX32" s="55"/>
      <c r="LRY32" s="54"/>
      <c r="LRZ32" s="56"/>
      <c r="LSA32" s="57"/>
      <c r="LSB32" s="54"/>
      <c r="LSC32" s="54"/>
      <c r="LSD32" s="54"/>
      <c r="LSE32" s="58"/>
      <c r="LSF32" s="58"/>
      <c r="LSG32" s="58"/>
      <c r="LSH32" s="58"/>
      <c r="LSI32" s="59"/>
      <c r="LSJ32" s="60"/>
      <c r="LSK32" s="54"/>
      <c r="LSL32" s="54"/>
      <c r="LSM32" s="36"/>
      <c r="LSN32" s="55"/>
      <c r="LSO32" s="54"/>
      <c r="LSP32" s="56"/>
      <c r="LSQ32" s="57"/>
      <c r="LSR32" s="54"/>
      <c r="LSS32" s="54"/>
      <c r="LST32" s="54"/>
      <c r="LSU32" s="58"/>
      <c r="LSV32" s="58"/>
      <c r="LSW32" s="58"/>
      <c r="LSX32" s="58"/>
      <c r="LSY32" s="59"/>
      <c r="LSZ32" s="60"/>
      <c r="LTA32" s="54"/>
      <c r="LTB32" s="54"/>
      <c r="LTC32" s="36"/>
      <c r="LTD32" s="55"/>
      <c r="LTE32" s="54"/>
      <c r="LTF32" s="56"/>
      <c r="LTG32" s="57"/>
      <c r="LTH32" s="54"/>
      <c r="LTI32" s="54"/>
      <c r="LTJ32" s="54"/>
      <c r="LTK32" s="58"/>
      <c r="LTL32" s="58"/>
      <c r="LTM32" s="58"/>
      <c r="LTN32" s="58"/>
      <c r="LTO32" s="59"/>
      <c r="LTP32" s="60"/>
      <c r="LTQ32" s="54"/>
      <c r="LTR32" s="54"/>
      <c r="LTS32" s="36"/>
      <c r="LTT32" s="55"/>
      <c r="LTU32" s="54"/>
      <c r="LTV32" s="56"/>
      <c r="LTW32" s="57"/>
      <c r="LTX32" s="54"/>
      <c r="LTY32" s="54"/>
      <c r="LTZ32" s="54"/>
      <c r="LUA32" s="58"/>
      <c r="LUB32" s="58"/>
      <c r="LUC32" s="58"/>
      <c r="LUD32" s="58"/>
      <c r="LUE32" s="59"/>
      <c r="LUF32" s="60"/>
      <c r="LUG32" s="54"/>
      <c r="LUH32" s="54"/>
      <c r="LUI32" s="36"/>
      <c r="LUJ32" s="55"/>
      <c r="LUK32" s="54"/>
      <c r="LUL32" s="56"/>
      <c r="LUM32" s="57"/>
      <c r="LUN32" s="54"/>
      <c r="LUO32" s="54"/>
      <c r="LUP32" s="54"/>
      <c r="LUQ32" s="58"/>
      <c r="LUR32" s="58"/>
      <c r="LUS32" s="58"/>
      <c r="LUT32" s="58"/>
      <c r="LUU32" s="59"/>
      <c r="LUV32" s="60"/>
      <c r="LUW32" s="54"/>
      <c r="LUX32" s="54"/>
      <c r="LUY32" s="36"/>
      <c r="LUZ32" s="55"/>
      <c r="LVA32" s="54"/>
      <c r="LVB32" s="56"/>
      <c r="LVC32" s="57"/>
      <c r="LVD32" s="54"/>
      <c r="LVE32" s="54"/>
      <c r="LVF32" s="54"/>
      <c r="LVG32" s="58"/>
      <c r="LVH32" s="58"/>
      <c r="LVI32" s="58"/>
      <c r="LVJ32" s="58"/>
      <c r="LVK32" s="59"/>
      <c r="LVL32" s="60"/>
      <c r="LVM32" s="54"/>
      <c r="LVN32" s="54"/>
      <c r="LVO32" s="36"/>
      <c r="LVP32" s="55"/>
      <c r="LVQ32" s="54"/>
      <c r="LVR32" s="56"/>
      <c r="LVS32" s="57"/>
      <c r="LVT32" s="54"/>
      <c r="LVU32" s="54"/>
      <c r="LVV32" s="54"/>
      <c r="LVW32" s="58"/>
      <c r="LVX32" s="58"/>
      <c r="LVY32" s="58"/>
      <c r="LVZ32" s="58"/>
      <c r="LWA32" s="59"/>
      <c r="LWB32" s="60"/>
      <c r="LWC32" s="54"/>
      <c r="LWD32" s="54"/>
      <c r="LWE32" s="36"/>
      <c r="LWF32" s="55"/>
      <c r="LWG32" s="54"/>
      <c r="LWH32" s="56"/>
      <c r="LWI32" s="57"/>
      <c r="LWJ32" s="54"/>
      <c r="LWK32" s="54"/>
      <c r="LWL32" s="54"/>
      <c r="LWM32" s="58"/>
      <c r="LWN32" s="58"/>
      <c r="LWO32" s="58"/>
      <c r="LWP32" s="58"/>
      <c r="LWQ32" s="59"/>
      <c r="LWR32" s="60"/>
      <c r="LWS32" s="54"/>
      <c r="LWT32" s="54"/>
      <c r="LWU32" s="36"/>
      <c r="LWV32" s="55"/>
      <c r="LWW32" s="54"/>
      <c r="LWX32" s="56"/>
      <c r="LWY32" s="57"/>
      <c r="LWZ32" s="54"/>
      <c r="LXA32" s="54"/>
      <c r="LXB32" s="54"/>
      <c r="LXC32" s="58"/>
      <c r="LXD32" s="58"/>
      <c r="LXE32" s="58"/>
      <c r="LXF32" s="58"/>
      <c r="LXG32" s="59"/>
      <c r="LXH32" s="60"/>
      <c r="LXI32" s="54"/>
      <c r="LXJ32" s="54"/>
      <c r="LXK32" s="36"/>
      <c r="LXL32" s="55"/>
      <c r="LXM32" s="54"/>
      <c r="LXN32" s="56"/>
      <c r="LXO32" s="57"/>
      <c r="LXP32" s="54"/>
      <c r="LXQ32" s="54"/>
      <c r="LXR32" s="54"/>
      <c r="LXS32" s="58"/>
      <c r="LXT32" s="58"/>
      <c r="LXU32" s="58"/>
      <c r="LXV32" s="58"/>
      <c r="LXW32" s="59"/>
      <c r="LXX32" s="60"/>
      <c r="LXY32" s="54"/>
      <c r="LXZ32" s="54"/>
      <c r="LYA32" s="36"/>
      <c r="LYB32" s="55"/>
      <c r="LYC32" s="54"/>
      <c r="LYD32" s="56"/>
      <c r="LYE32" s="57"/>
      <c r="LYF32" s="54"/>
      <c r="LYG32" s="54"/>
      <c r="LYH32" s="54"/>
      <c r="LYI32" s="58"/>
      <c r="LYJ32" s="58"/>
      <c r="LYK32" s="58"/>
      <c r="LYL32" s="58"/>
      <c r="LYM32" s="59"/>
      <c r="LYN32" s="60"/>
      <c r="LYO32" s="54"/>
      <c r="LYP32" s="54"/>
      <c r="LYQ32" s="36"/>
      <c r="LYR32" s="55"/>
      <c r="LYS32" s="54"/>
      <c r="LYT32" s="56"/>
      <c r="LYU32" s="57"/>
      <c r="LYV32" s="54"/>
      <c r="LYW32" s="54"/>
      <c r="LYX32" s="54"/>
      <c r="LYY32" s="58"/>
      <c r="LYZ32" s="58"/>
      <c r="LZA32" s="58"/>
      <c r="LZB32" s="58"/>
      <c r="LZC32" s="59"/>
      <c r="LZD32" s="60"/>
      <c r="LZE32" s="54"/>
      <c r="LZF32" s="54"/>
      <c r="LZG32" s="36"/>
      <c r="LZH32" s="55"/>
      <c r="LZI32" s="54"/>
      <c r="LZJ32" s="56"/>
      <c r="LZK32" s="57"/>
      <c r="LZL32" s="54"/>
      <c r="LZM32" s="54"/>
      <c r="LZN32" s="54"/>
      <c r="LZO32" s="58"/>
      <c r="LZP32" s="58"/>
      <c r="LZQ32" s="58"/>
      <c r="LZR32" s="58"/>
      <c r="LZS32" s="59"/>
      <c r="LZT32" s="60"/>
      <c r="LZU32" s="54"/>
      <c r="LZV32" s="54"/>
      <c r="LZW32" s="36"/>
      <c r="LZX32" s="55"/>
      <c r="LZY32" s="54"/>
      <c r="LZZ32" s="56"/>
      <c r="MAA32" s="57"/>
      <c r="MAB32" s="54"/>
      <c r="MAC32" s="54"/>
      <c r="MAD32" s="54"/>
      <c r="MAE32" s="58"/>
      <c r="MAF32" s="58"/>
      <c r="MAG32" s="58"/>
      <c r="MAH32" s="58"/>
      <c r="MAI32" s="59"/>
      <c r="MAJ32" s="60"/>
      <c r="MAK32" s="54"/>
      <c r="MAL32" s="54"/>
      <c r="MAM32" s="36"/>
      <c r="MAN32" s="55"/>
      <c r="MAO32" s="54"/>
      <c r="MAP32" s="56"/>
      <c r="MAQ32" s="57"/>
      <c r="MAR32" s="54"/>
      <c r="MAS32" s="54"/>
      <c r="MAT32" s="54"/>
      <c r="MAU32" s="58"/>
      <c r="MAV32" s="58"/>
      <c r="MAW32" s="58"/>
      <c r="MAX32" s="58"/>
      <c r="MAY32" s="59"/>
      <c r="MAZ32" s="60"/>
      <c r="MBA32" s="54"/>
      <c r="MBB32" s="54"/>
      <c r="MBC32" s="36"/>
      <c r="MBD32" s="55"/>
      <c r="MBE32" s="54"/>
      <c r="MBF32" s="56"/>
      <c r="MBG32" s="57"/>
      <c r="MBH32" s="54"/>
      <c r="MBI32" s="54"/>
      <c r="MBJ32" s="54"/>
      <c r="MBK32" s="58"/>
      <c r="MBL32" s="58"/>
      <c r="MBM32" s="58"/>
      <c r="MBN32" s="58"/>
      <c r="MBO32" s="59"/>
      <c r="MBP32" s="60"/>
      <c r="MBQ32" s="54"/>
      <c r="MBR32" s="54"/>
      <c r="MBS32" s="36"/>
      <c r="MBT32" s="55"/>
      <c r="MBU32" s="54"/>
      <c r="MBV32" s="56"/>
      <c r="MBW32" s="57"/>
      <c r="MBX32" s="54"/>
      <c r="MBY32" s="54"/>
      <c r="MBZ32" s="54"/>
      <c r="MCA32" s="58"/>
      <c r="MCB32" s="58"/>
      <c r="MCC32" s="58"/>
      <c r="MCD32" s="58"/>
      <c r="MCE32" s="59"/>
      <c r="MCF32" s="60"/>
      <c r="MCG32" s="54"/>
      <c r="MCH32" s="54"/>
      <c r="MCI32" s="36"/>
      <c r="MCJ32" s="55"/>
      <c r="MCK32" s="54"/>
      <c r="MCL32" s="56"/>
      <c r="MCM32" s="57"/>
      <c r="MCN32" s="54"/>
      <c r="MCO32" s="54"/>
      <c r="MCP32" s="54"/>
      <c r="MCQ32" s="58"/>
      <c r="MCR32" s="58"/>
      <c r="MCS32" s="58"/>
      <c r="MCT32" s="58"/>
      <c r="MCU32" s="59"/>
      <c r="MCV32" s="60"/>
      <c r="MCW32" s="54"/>
      <c r="MCX32" s="54"/>
      <c r="MCY32" s="36"/>
      <c r="MCZ32" s="55"/>
      <c r="MDA32" s="54"/>
      <c r="MDB32" s="56"/>
      <c r="MDC32" s="57"/>
      <c r="MDD32" s="54"/>
      <c r="MDE32" s="54"/>
      <c r="MDF32" s="54"/>
      <c r="MDG32" s="58"/>
      <c r="MDH32" s="58"/>
      <c r="MDI32" s="58"/>
      <c r="MDJ32" s="58"/>
      <c r="MDK32" s="59"/>
      <c r="MDL32" s="60"/>
      <c r="MDM32" s="54"/>
      <c r="MDN32" s="54"/>
      <c r="MDO32" s="36"/>
      <c r="MDP32" s="55"/>
      <c r="MDQ32" s="54"/>
      <c r="MDR32" s="56"/>
      <c r="MDS32" s="57"/>
      <c r="MDT32" s="54"/>
      <c r="MDU32" s="54"/>
      <c r="MDV32" s="54"/>
      <c r="MDW32" s="58"/>
      <c r="MDX32" s="58"/>
      <c r="MDY32" s="58"/>
      <c r="MDZ32" s="58"/>
      <c r="MEA32" s="59"/>
      <c r="MEB32" s="60"/>
      <c r="MEC32" s="54"/>
      <c r="MED32" s="54"/>
      <c r="MEE32" s="36"/>
      <c r="MEF32" s="55"/>
      <c r="MEG32" s="54"/>
      <c r="MEH32" s="56"/>
      <c r="MEI32" s="57"/>
      <c r="MEJ32" s="54"/>
      <c r="MEK32" s="54"/>
      <c r="MEL32" s="54"/>
      <c r="MEM32" s="58"/>
      <c r="MEN32" s="58"/>
      <c r="MEO32" s="58"/>
      <c r="MEP32" s="58"/>
      <c r="MEQ32" s="59"/>
      <c r="MER32" s="60"/>
      <c r="MES32" s="54"/>
      <c r="MET32" s="54"/>
      <c r="MEU32" s="36"/>
      <c r="MEV32" s="55"/>
      <c r="MEW32" s="54"/>
      <c r="MEX32" s="56"/>
      <c r="MEY32" s="57"/>
      <c r="MEZ32" s="54"/>
      <c r="MFA32" s="54"/>
      <c r="MFB32" s="54"/>
      <c r="MFC32" s="58"/>
      <c r="MFD32" s="58"/>
      <c r="MFE32" s="58"/>
      <c r="MFF32" s="58"/>
      <c r="MFG32" s="59"/>
      <c r="MFH32" s="60"/>
      <c r="MFI32" s="54"/>
      <c r="MFJ32" s="54"/>
      <c r="MFK32" s="36"/>
      <c r="MFL32" s="55"/>
      <c r="MFM32" s="54"/>
      <c r="MFN32" s="56"/>
      <c r="MFO32" s="57"/>
      <c r="MFP32" s="54"/>
      <c r="MFQ32" s="54"/>
      <c r="MFR32" s="54"/>
      <c r="MFS32" s="58"/>
      <c r="MFT32" s="58"/>
      <c r="MFU32" s="58"/>
      <c r="MFV32" s="58"/>
      <c r="MFW32" s="59"/>
      <c r="MFX32" s="60"/>
      <c r="MFY32" s="54"/>
      <c r="MFZ32" s="54"/>
      <c r="MGA32" s="36"/>
      <c r="MGB32" s="55"/>
      <c r="MGC32" s="54"/>
      <c r="MGD32" s="56"/>
      <c r="MGE32" s="57"/>
      <c r="MGF32" s="54"/>
      <c r="MGG32" s="54"/>
      <c r="MGH32" s="54"/>
      <c r="MGI32" s="58"/>
      <c r="MGJ32" s="58"/>
      <c r="MGK32" s="58"/>
      <c r="MGL32" s="58"/>
      <c r="MGM32" s="59"/>
      <c r="MGN32" s="60"/>
      <c r="MGO32" s="54"/>
      <c r="MGP32" s="54"/>
      <c r="MGQ32" s="36"/>
      <c r="MGR32" s="55"/>
      <c r="MGS32" s="54"/>
      <c r="MGT32" s="56"/>
      <c r="MGU32" s="57"/>
      <c r="MGV32" s="54"/>
      <c r="MGW32" s="54"/>
      <c r="MGX32" s="54"/>
      <c r="MGY32" s="58"/>
      <c r="MGZ32" s="58"/>
      <c r="MHA32" s="58"/>
      <c r="MHB32" s="58"/>
      <c r="MHC32" s="59"/>
      <c r="MHD32" s="60"/>
      <c r="MHE32" s="54"/>
      <c r="MHF32" s="54"/>
      <c r="MHG32" s="36"/>
      <c r="MHH32" s="55"/>
      <c r="MHI32" s="54"/>
      <c r="MHJ32" s="56"/>
      <c r="MHK32" s="57"/>
      <c r="MHL32" s="54"/>
      <c r="MHM32" s="54"/>
      <c r="MHN32" s="54"/>
      <c r="MHO32" s="58"/>
      <c r="MHP32" s="58"/>
      <c r="MHQ32" s="58"/>
      <c r="MHR32" s="58"/>
      <c r="MHS32" s="59"/>
      <c r="MHT32" s="60"/>
      <c r="MHU32" s="54"/>
      <c r="MHV32" s="54"/>
      <c r="MHW32" s="36"/>
      <c r="MHX32" s="55"/>
      <c r="MHY32" s="54"/>
      <c r="MHZ32" s="56"/>
      <c r="MIA32" s="57"/>
      <c r="MIB32" s="54"/>
      <c r="MIC32" s="54"/>
      <c r="MID32" s="54"/>
      <c r="MIE32" s="58"/>
      <c r="MIF32" s="58"/>
      <c r="MIG32" s="58"/>
      <c r="MIH32" s="58"/>
      <c r="MII32" s="59"/>
      <c r="MIJ32" s="60"/>
      <c r="MIK32" s="54"/>
      <c r="MIL32" s="54"/>
      <c r="MIM32" s="36"/>
      <c r="MIN32" s="55"/>
      <c r="MIO32" s="54"/>
      <c r="MIP32" s="56"/>
      <c r="MIQ32" s="57"/>
      <c r="MIR32" s="54"/>
      <c r="MIS32" s="54"/>
      <c r="MIT32" s="54"/>
      <c r="MIU32" s="58"/>
      <c r="MIV32" s="58"/>
      <c r="MIW32" s="58"/>
      <c r="MIX32" s="58"/>
      <c r="MIY32" s="59"/>
      <c r="MIZ32" s="60"/>
      <c r="MJA32" s="54"/>
      <c r="MJB32" s="54"/>
      <c r="MJC32" s="36"/>
      <c r="MJD32" s="55"/>
      <c r="MJE32" s="54"/>
      <c r="MJF32" s="56"/>
      <c r="MJG32" s="57"/>
      <c r="MJH32" s="54"/>
      <c r="MJI32" s="54"/>
      <c r="MJJ32" s="54"/>
      <c r="MJK32" s="58"/>
      <c r="MJL32" s="58"/>
      <c r="MJM32" s="58"/>
      <c r="MJN32" s="58"/>
      <c r="MJO32" s="59"/>
      <c r="MJP32" s="60"/>
      <c r="MJQ32" s="54"/>
      <c r="MJR32" s="54"/>
      <c r="MJS32" s="36"/>
      <c r="MJT32" s="55"/>
      <c r="MJU32" s="54"/>
      <c r="MJV32" s="56"/>
      <c r="MJW32" s="57"/>
      <c r="MJX32" s="54"/>
      <c r="MJY32" s="54"/>
      <c r="MJZ32" s="54"/>
      <c r="MKA32" s="58"/>
      <c r="MKB32" s="58"/>
      <c r="MKC32" s="58"/>
      <c r="MKD32" s="58"/>
      <c r="MKE32" s="59"/>
      <c r="MKF32" s="60"/>
      <c r="MKG32" s="54"/>
      <c r="MKH32" s="54"/>
      <c r="MKI32" s="36"/>
      <c r="MKJ32" s="55"/>
      <c r="MKK32" s="54"/>
      <c r="MKL32" s="56"/>
      <c r="MKM32" s="57"/>
      <c r="MKN32" s="54"/>
      <c r="MKO32" s="54"/>
      <c r="MKP32" s="54"/>
      <c r="MKQ32" s="58"/>
      <c r="MKR32" s="58"/>
      <c r="MKS32" s="58"/>
      <c r="MKT32" s="58"/>
      <c r="MKU32" s="59"/>
      <c r="MKV32" s="60"/>
      <c r="MKW32" s="54"/>
      <c r="MKX32" s="54"/>
      <c r="MKY32" s="36"/>
      <c r="MKZ32" s="55"/>
      <c r="MLA32" s="54"/>
      <c r="MLB32" s="56"/>
      <c r="MLC32" s="57"/>
      <c r="MLD32" s="54"/>
      <c r="MLE32" s="54"/>
      <c r="MLF32" s="54"/>
      <c r="MLG32" s="58"/>
      <c r="MLH32" s="58"/>
      <c r="MLI32" s="58"/>
      <c r="MLJ32" s="58"/>
      <c r="MLK32" s="59"/>
      <c r="MLL32" s="60"/>
      <c r="MLM32" s="54"/>
      <c r="MLN32" s="54"/>
      <c r="MLO32" s="36"/>
      <c r="MLP32" s="55"/>
      <c r="MLQ32" s="54"/>
      <c r="MLR32" s="56"/>
      <c r="MLS32" s="57"/>
      <c r="MLT32" s="54"/>
      <c r="MLU32" s="54"/>
      <c r="MLV32" s="54"/>
      <c r="MLW32" s="58"/>
      <c r="MLX32" s="58"/>
      <c r="MLY32" s="58"/>
      <c r="MLZ32" s="58"/>
      <c r="MMA32" s="59"/>
      <c r="MMB32" s="60"/>
      <c r="MMC32" s="54"/>
      <c r="MMD32" s="54"/>
      <c r="MME32" s="36"/>
      <c r="MMF32" s="55"/>
      <c r="MMG32" s="54"/>
      <c r="MMH32" s="56"/>
      <c r="MMI32" s="57"/>
      <c r="MMJ32" s="54"/>
      <c r="MMK32" s="54"/>
      <c r="MML32" s="54"/>
      <c r="MMM32" s="58"/>
      <c r="MMN32" s="58"/>
      <c r="MMO32" s="58"/>
      <c r="MMP32" s="58"/>
      <c r="MMQ32" s="59"/>
      <c r="MMR32" s="60"/>
      <c r="MMS32" s="54"/>
      <c r="MMT32" s="54"/>
      <c r="MMU32" s="36"/>
      <c r="MMV32" s="55"/>
      <c r="MMW32" s="54"/>
      <c r="MMX32" s="56"/>
      <c r="MMY32" s="57"/>
      <c r="MMZ32" s="54"/>
      <c r="MNA32" s="54"/>
      <c r="MNB32" s="54"/>
      <c r="MNC32" s="58"/>
      <c r="MND32" s="58"/>
      <c r="MNE32" s="58"/>
      <c r="MNF32" s="58"/>
      <c r="MNG32" s="59"/>
      <c r="MNH32" s="60"/>
      <c r="MNI32" s="54"/>
      <c r="MNJ32" s="54"/>
      <c r="MNK32" s="36"/>
      <c r="MNL32" s="55"/>
      <c r="MNM32" s="54"/>
      <c r="MNN32" s="56"/>
      <c r="MNO32" s="57"/>
      <c r="MNP32" s="54"/>
      <c r="MNQ32" s="54"/>
      <c r="MNR32" s="54"/>
      <c r="MNS32" s="58"/>
      <c r="MNT32" s="58"/>
      <c r="MNU32" s="58"/>
      <c r="MNV32" s="58"/>
      <c r="MNW32" s="59"/>
      <c r="MNX32" s="60"/>
      <c r="MNY32" s="54"/>
      <c r="MNZ32" s="54"/>
      <c r="MOA32" s="36"/>
      <c r="MOB32" s="55"/>
      <c r="MOC32" s="54"/>
      <c r="MOD32" s="56"/>
      <c r="MOE32" s="57"/>
      <c r="MOF32" s="54"/>
      <c r="MOG32" s="54"/>
      <c r="MOH32" s="54"/>
      <c r="MOI32" s="58"/>
      <c r="MOJ32" s="58"/>
      <c r="MOK32" s="58"/>
      <c r="MOL32" s="58"/>
      <c r="MOM32" s="59"/>
      <c r="MON32" s="60"/>
      <c r="MOO32" s="54"/>
      <c r="MOP32" s="54"/>
      <c r="MOQ32" s="36"/>
      <c r="MOR32" s="55"/>
      <c r="MOS32" s="54"/>
      <c r="MOT32" s="56"/>
      <c r="MOU32" s="57"/>
      <c r="MOV32" s="54"/>
      <c r="MOW32" s="54"/>
      <c r="MOX32" s="54"/>
      <c r="MOY32" s="58"/>
      <c r="MOZ32" s="58"/>
      <c r="MPA32" s="58"/>
      <c r="MPB32" s="58"/>
      <c r="MPC32" s="59"/>
      <c r="MPD32" s="60"/>
      <c r="MPE32" s="54"/>
      <c r="MPF32" s="54"/>
      <c r="MPG32" s="36"/>
      <c r="MPH32" s="55"/>
      <c r="MPI32" s="54"/>
      <c r="MPJ32" s="56"/>
      <c r="MPK32" s="57"/>
      <c r="MPL32" s="54"/>
      <c r="MPM32" s="54"/>
      <c r="MPN32" s="54"/>
      <c r="MPO32" s="58"/>
      <c r="MPP32" s="58"/>
      <c r="MPQ32" s="58"/>
      <c r="MPR32" s="58"/>
      <c r="MPS32" s="59"/>
      <c r="MPT32" s="60"/>
      <c r="MPU32" s="54"/>
      <c r="MPV32" s="54"/>
      <c r="MPW32" s="36"/>
      <c r="MPX32" s="55"/>
      <c r="MPY32" s="54"/>
      <c r="MPZ32" s="56"/>
      <c r="MQA32" s="57"/>
      <c r="MQB32" s="54"/>
      <c r="MQC32" s="54"/>
      <c r="MQD32" s="54"/>
      <c r="MQE32" s="58"/>
      <c r="MQF32" s="58"/>
      <c r="MQG32" s="58"/>
      <c r="MQH32" s="58"/>
      <c r="MQI32" s="59"/>
      <c r="MQJ32" s="60"/>
      <c r="MQK32" s="54"/>
      <c r="MQL32" s="54"/>
      <c r="MQM32" s="36"/>
      <c r="MQN32" s="55"/>
      <c r="MQO32" s="54"/>
      <c r="MQP32" s="56"/>
      <c r="MQQ32" s="57"/>
      <c r="MQR32" s="54"/>
      <c r="MQS32" s="54"/>
      <c r="MQT32" s="54"/>
      <c r="MQU32" s="58"/>
      <c r="MQV32" s="58"/>
      <c r="MQW32" s="58"/>
      <c r="MQX32" s="58"/>
      <c r="MQY32" s="59"/>
      <c r="MQZ32" s="60"/>
      <c r="MRA32" s="54"/>
      <c r="MRB32" s="54"/>
      <c r="MRC32" s="36"/>
      <c r="MRD32" s="55"/>
      <c r="MRE32" s="54"/>
      <c r="MRF32" s="56"/>
      <c r="MRG32" s="57"/>
      <c r="MRH32" s="54"/>
      <c r="MRI32" s="54"/>
      <c r="MRJ32" s="54"/>
      <c r="MRK32" s="58"/>
      <c r="MRL32" s="58"/>
      <c r="MRM32" s="58"/>
      <c r="MRN32" s="58"/>
      <c r="MRO32" s="59"/>
      <c r="MRP32" s="60"/>
      <c r="MRQ32" s="54"/>
      <c r="MRR32" s="54"/>
      <c r="MRS32" s="36"/>
      <c r="MRT32" s="55"/>
      <c r="MRU32" s="54"/>
      <c r="MRV32" s="56"/>
      <c r="MRW32" s="57"/>
      <c r="MRX32" s="54"/>
      <c r="MRY32" s="54"/>
      <c r="MRZ32" s="54"/>
      <c r="MSA32" s="58"/>
      <c r="MSB32" s="58"/>
      <c r="MSC32" s="58"/>
      <c r="MSD32" s="58"/>
      <c r="MSE32" s="59"/>
      <c r="MSF32" s="60"/>
      <c r="MSG32" s="54"/>
      <c r="MSH32" s="54"/>
      <c r="MSI32" s="36"/>
      <c r="MSJ32" s="55"/>
      <c r="MSK32" s="54"/>
      <c r="MSL32" s="56"/>
      <c r="MSM32" s="57"/>
      <c r="MSN32" s="54"/>
      <c r="MSO32" s="54"/>
      <c r="MSP32" s="54"/>
      <c r="MSQ32" s="58"/>
      <c r="MSR32" s="58"/>
      <c r="MSS32" s="58"/>
      <c r="MST32" s="58"/>
      <c r="MSU32" s="59"/>
      <c r="MSV32" s="60"/>
      <c r="MSW32" s="54"/>
      <c r="MSX32" s="54"/>
      <c r="MSY32" s="36"/>
      <c r="MSZ32" s="55"/>
      <c r="MTA32" s="54"/>
      <c r="MTB32" s="56"/>
      <c r="MTC32" s="57"/>
      <c r="MTD32" s="54"/>
      <c r="MTE32" s="54"/>
      <c r="MTF32" s="54"/>
      <c r="MTG32" s="58"/>
      <c r="MTH32" s="58"/>
      <c r="MTI32" s="58"/>
      <c r="MTJ32" s="58"/>
      <c r="MTK32" s="59"/>
      <c r="MTL32" s="60"/>
      <c r="MTM32" s="54"/>
      <c r="MTN32" s="54"/>
      <c r="MTO32" s="36"/>
      <c r="MTP32" s="55"/>
      <c r="MTQ32" s="54"/>
      <c r="MTR32" s="56"/>
      <c r="MTS32" s="57"/>
      <c r="MTT32" s="54"/>
      <c r="MTU32" s="54"/>
      <c r="MTV32" s="54"/>
      <c r="MTW32" s="58"/>
      <c r="MTX32" s="58"/>
      <c r="MTY32" s="58"/>
      <c r="MTZ32" s="58"/>
      <c r="MUA32" s="59"/>
      <c r="MUB32" s="60"/>
      <c r="MUC32" s="54"/>
      <c r="MUD32" s="54"/>
      <c r="MUE32" s="36"/>
      <c r="MUF32" s="55"/>
      <c r="MUG32" s="54"/>
      <c r="MUH32" s="56"/>
      <c r="MUI32" s="57"/>
      <c r="MUJ32" s="54"/>
      <c r="MUK32" s="54"/>
      <c r="MUL32" s="54"/>
      <c r="MUM32" s="58"/>
      <c r="MUN32" s="58"/>
      <c r="MUO32" s="58"/>
      <c r="MUP32" s="58"/>
      <c r="MUQ32" s="59"/>
      <c r="MUR32" s="60"/>
      <c r="MUS32" s="54"/>
      <c r="MUT32" s="54"/>
      <c r="MUU32" s="36"/>
      <c r="MUV32" s="55"/>
      <c r="MUW32" s="54"/>
      <c r="MUX32" s="56"/>
      <c r="MUY32" s="57"/>
      <c r="MUZ32" s="54"/>
      <c r="MVA32" s="54"/>
      <c r="MVB32" s="54"/>
      <c r="MVC32" s="58"/>
      <c r="MVD32" s="58"/>
      <c r="MVE32" s="58"/>
      <c r="MVF32" s="58"/>
      <c r="MVG32" s="59"/>
      <c r="MVH32" s="60"/>
      <c r="MVI32" s="54"/>
      <c r="MVJ32" s="54"/>
      <c r="MVK32" s="36"/>
      <c r="MVL32" s="55"/>
      <c r="MVM32" s="54"/>
      <c r="MVN32" s="56"/>
      <c r="MVO32" s="57"/>
      <c r="MVP32" s="54"/>
      <c r="MVQ32" s="54"/>
      <c r="MVR32" s="54"/>
      <c r="MVS32" s="58"/>
      <c r="MVT32" s="58"/>
      <c r="MVU32" s="58"/>
      <c r="MVV32" s="58"/>
      <c r="MVW32" s="59"/>
      <c r="MVX32" s="60"/>
      <c r="MVY32" s="54"/>
      <c r="MVZ32" s="54"/>
      <c r="MWA32" s="36"/>
      <c r="MWB32" s="55"/>
      <c r="MWC32" s="54"/>
      <c r="MWD32" s="56"/>
      <c r="MWE32" s="57"/>
      <c r="MWF32" s="54"/>
      <c r="MWG32" s="54"/>
      <c r="MWH32" s="54"/>
      <c r="MWI32" s="58"/>
      <c r="MWJ32" s="58"/>
      <c r="MWK32" s="58"/>
      <c r="MWL32" s="58"/>
      <c r="MWM32" s="59"/>
      <c r="MWN32" s="60"/>
      <c r="MWO32" s="54"/>
      <c r="MWP32" s="54"/>
      <c r="MWQ32" s="36"/>
      <c r="MWR32" s="55"/>
      <c r="MWS32" s="54"/>
      <c r="MWT32" s="56"/>
      <c r="MWU32" s="57"/>
      <c r="MWV32" s="54"/>
      <c r="MWW32" s="54"/>
      <c r="MWX32" s="54"/>
      <c r="MWY32" s="58"/>
      <c r="MWZ32" s="58"/>
      <c r="MXA32" s="58"/>
      <c r="MXB32" s="58"/>
      <c r="MXC32" s="59"/>
      <c r="MXD32" s="60"/>
      <c r="MXE32" s="54"/>
      <c r="MXF32" s="54"/>
      <c r="MXG32" s="36"/>
      <c r="MXH32" s="55"/>
      <c r="MXI32" s="54"/>
      <c r="MXJ32" s="56"/>
      <c r="MXK32" s="57"/>
      <c r="MXL32" s="54"/>
      <c r="MXM32" s="54"/>
      <c r="MXN32" s="54"/>
      <c r="MXO32" s="58"/>
      <c r="MXP32" s="58"/>
      <c r="MXQ32" s="58"/>
      <c r="MXR32" s="58"/>
      <c r="MXS32" s="59"/>
      <c r="MXT32" s="60"/>
      <c r="MXU32" s="54"/>
      <c r="MXV32" s="54"/>
      <c r="MXW32" s="36"/>
      <c r="MXX32" s="55"/>
      <c r="MXY32" s="54"/>
      <c r="MXZ32" s="56"/>
      <c r="MYA32" s="57"/>
      <c r="MYB32" s="54"/>
      <c r="MYC32" s="54"/>
      <c r="MYD32" s="54"/>
      <c r="MYE32" s="58"/>
      <c r="MYF32" s="58"/>
      <c r="MYG32" s="58"/>
      <c r="MYH32" s="58"/>
      <c r="MYI32" s="59"/>
      <c r="MYJ32" s="60"/>
      <c r="MYK32" s="54"/>
      <c r="MYL32" s="54"/>
      <c r="MYM32" s="36"/>
      <c r="MYN32" s="55"/>
      <c r="MYO32" s="54"/>
      <c r="MYP32" s="56"/>
      <c r="MYQ32" s="57"/>
      <c r="MYR32" s="54"/>
      <c r="MYS32" s="54"/>
      <c r="MYT32" s="54"/>
      <c r="MYU32" s="58"/>
      <c r="MYV32" s="58"/>
      <c r="MYW32" s="58"/>
      <c r="MYX32" s="58"/>
      <c r="MYY32" s="59"/>
      <c r="MYZ32" s="60"/>
      <c r="MZA32" s="54"/>
      <c r="MZB32" s="54"/>
      <c r="MZC32" s="36"/>
      <c r="MZD32" s="55"/>
      <c r="MZE32" s="54"/>
      <c r="MZF32" s="56"/>
      <c r="MZG32" s="57"/>
      <c r="MZH32" s="54"/>
      <c r="MZI32" s="54"/>
      <c r="MZJ32" s="54"/>
      <c r="MZK32" s="58"/>
      <c r="MZL32" s="58"/>
      <c r="MZM32" s="58"/>
      <c r="MZN32" s="58"/>
      <c r="MZO32" s="59"/>
      <c r="MZP32" s="60"/>
      <c r="MZQ32" s="54"/>
      <c r="MZR32" s="54"/>
      <c r="MZS32" s="36"/>
      <c r="MZT32" s="55"/>
      <c r="MZU32" s="54"/>
      <c r="MZV32" s="56"/>
      <c r="MZW32" s="57"/>
      <c r="MZX32" s="54"/>
      <c r="MZY32" s="54"/>
      <c r="MZZ32" s="54"/>
      <c r="NAA32" s="58"/>
      <c r="NAB32" s="58"/>
      <c r="NAC32" s="58"/>
      <c r="NAD32" s="58"/>
      <c r="NAE32" s="59"/>
      <c r="NAF32" s="60"/>
      <c r="NAG32" s="54"/>
      <c r="NAH32" s="54"/>
      <c r="NAI32" s="36"/>
      <c r="NAJ32" s="55"/>
      <c r="NAK32" s="54"/>
      <c r="NAL32" s="56"/>
      <c r="NAM32" s="57"/>
      <c r="NAN32" s="54"/>
      <c r="NAO32" s="54"/>
      <c r="NAP32" s="54"/>
      <c r="NAQ32" s="58"/>
      <c r="NAR32" s="58"/>
      <c r="NAS32" s="58"/>
      <c r="NAT32" s="58"/>
      <c r="NAU32" s="59"/>
      <c r="NAV32" s="60"/>
      <c r="NAW32" s="54"/>
      <c r="NAX32" s="54"/>
      <c r="NAY32" s="36"/>
      <c r="NAZ32" s="55"/>
      <c r="NBA32" s="54"/>
      <c r="NBB32" s="56"/>
      <c r="NBC32" s="57"/>
      <c r="NBD32" s="54"/>
      <c r="NBE32" s="54"/>
      <c r="NBF32" s="54"/>
      <c r="NBG32" s="58"/>
      <c r="NBH32" s="58"/>
      <c r="NBI32" s="58"/>
      <c r="NBJ32" s="58"/>
      <c r="NBK32" s="59"/>
      <c r="NBL32" s="60"/>
      <c r="NBM32" s="54"/>
      <c r="NBN32" s="54"/>
      <c r="NBO32" s="36"/>
      <c r="NBP32" s="55"/>
      <c r="NBQ32" s="54"/>
      <c r="NBR32" s="56"/>
      <c r="NBS32" s="57"/>
      <c r="NBT32" s="54"/>
      <c r="NBU32" s="54"/>
      <c r="NBV32" s="54"/>
      <c r="NBW32" s="58"/>
      <c r="NBX32" s="58"/>
      <c r="NBY32" s="58"/>
      <c r="NBZ32" s="58"/>
      <c r="NCA32" s="59"/>
      <c r="NCB32" s="60"/>
      <c r="NCC32" s="54"/>
      <c r="NCD32" s="54"/>
      <c r="NCE32" s="36"/>
      <c r="NCF32" s="55"/>
      <c r="NCG32" s="54"/>
      <c r="NCH32" s="56"/>
      <c r="NCI32" s="57"/>
      <c r="NCJ32" s="54"/>
      <c r="NCK32" s="54"/>
      <c r="NCL32" s="54"/>
      <c r="NCM32" s="58"/>
      <c r="NCN32" s="58"/>
      <c r="NCO32" s="58"/>
      <c r="NCP32" s="58"/>
      <c r="NCQ32" s="59"/>
      <c r="NCR32" s="60"/>
      <c r="NCS32" s="54"/>
      <c r="NCT32" s="54"/>
      <c r="NCU32" s="36"/>
      <c r="NCV32" s="55"/>
      <c r="NCW32" s="54"/>
      <c r="NCX32" s="56"/>
      <c r="NCY32" s="57"/>
      <c r="NCZ32" s="54"/>
      <c r="NDA32" s="54"/>
      <c r="NDB32" s="54"/>
      <c r="NDC32" s="58"/>
      <c r="NDD32" s="58"/>
      <c r="NDE32" s="58"/>
      <c r="NDF32" s="58"/>
      <c r="NDG32" s="59"/>
      <c r="NDH32" s="60"/>
      <c r="NDI32" s="54"/>
      <c r="NDJ32" s="54"/>
      <c r="NDK32" s="36"/>
      <c r="NDL32" s="55"/>
      <c r="NDM32" s="54"/>
      <c r="NDN32" s="56"/>
      <c r="NDO32" s="57"/>
      <c r="NDP32" s="54"/>
      <c r="NDQ32" s="54"/>
      <c r="NDR32" s="54"/>
      <c r="NDS32" s="58"/>
      <c r="NDT32" s="58"/>
      <c r="NDU32" s="58"/>
      <c r="NDV32" s="58"/>
      <c r="NDW32" s="59"/>
      <c r="NDX32" s="60"/>
      <c r="NDY32" s="54"/>
      <c r="NDZ32" s="54"/>
      <c r="NEA32" s="36"/>
      <c r="NEB32" s="55"/>
      <c r="NEC32" s="54"/>
      <c r="NED32" s="56"/>
      <c r="NEE32" s="57"/>
      <c r="NEF32" s="54"/>
      <c r="NEG32" s="54"/>
      <c r="NEH32" s="54"/>
      <c r="NEI32" s="58"/>
      <c r="NEJ32" s="58"/>
      <c r="NEK32" s="58"/>
      <c r="NEL32" s="58"/>
      <c r="NEM32" s="59"/>
      <c r="NEN32" s="60"/>
      <c r="NEO32" s="54"/>
      <c r="NEP32" s="54"/>
      <c r="NEQ32" s="36"/>
      <c r="NER32" s="55"/>
      <c r="NES32" s="54"/>
      <c r="NET32" s="56"/>
      <c r="NEU32" s="57"/>
      <c r="NEV32" s="54"/>
      <c r="NEW32" s="54"/>
      <c r="NEX32" s="54"/>
      <c r="NEY32" s="58"/>
      <c r="NEZ32" s="58"/>
      <c r="NFA32" s="58"/>
      <c r="NFB32" s="58"/>
      <c r="NFC32" s="59"/>
      <c r="NFD32" s="60"/>
      <c r="NFE32" s="54"/>
      <c r="NFF32" s="54"/>
      <c r="NFG32" s="36"/>
      <c r="NFH32" s="55"/>
      <c r="NFI32" s="54"/>
      <c r="NFJ32" s="56"/>
      <c r="NFK32" s="57"/>
      <c r="NFL32" s="54"/>
      <c r="NFM32" s="54"/>
      <c r="NFN32" s="54"/>
      <c r="NFO32" s="58"/>
      <c r="NFP32" s="58"/>
      <c r="NFQ32" s="58"/>
      <c r="NFR32" s="58"/>
      <c r="NFS32" s="59"/>
      <c r="NFT32" s="60"/>
      <c r="NFU32" s="54"/>
      <c r="NFV32" s="54"/>
      <c r="NFW32" s="36"/>
      <c r="NFX32" s="55"/>
      <c r="NFY32" s="54"/>
      <c r="NFZ32" s="56"/>
      <c r="NGA32" s="57"/>
      <c r="NGB32" s="54"/>
      <c r="NGC32" s="54"/>
      <c r="NGD32" s="54"/>
      <c r="NGE32" s="58"/>
      <c r="NGF32" s="58"/>
      <c r="NGG32" s="58"/>
      <c r="NGH32" s="58"/>
      <c r="NGI32" s="59"/>
      <c r="NGJ32" s="60"/>
      <c r="NGK32" s="54"/>
      <c r="NGL32" s="54"/>
      <c r="NGM32" s="36"/>
      <c r="NGN32" s="55"/>
      <c r="NGO32" s="54"/>
      <c r="NGP32" s="56"/>
      <c r="NGQ32" s="57"/>
      <c r="NGR32" s="54"/>
      <c r="NGS32" s="54"/>
      <c r="NGT32" s="54"/>
      <c r="NGU32" s="58"/>
      <c r="NGV32" s="58"/>
      <c r="NGW32" s="58"/>
      <c r="NGX32" s="58"/>
      <c r="NGY32" s="59"/>
      <c r="NGZ32" s="60"/>
      <c r="NHA32" s="54"/>
      <c r="NHB32" s="54"/>
      <c r="NHC32" s="36"/>
      <c r="NHD32" s="55"/>
      <c r="NHE32" s="54"/>
      <c r="NHF32" s="56"/>
      <c r="NHG32" s="57"/>
      <c r="NHH32" s="54"/>
      <c r="NHI32" s="54"/>
      <c r="NHJ32" s="54"/>
      <c r="NHK32" s="58"/>
      <c r="NHL32" s="58"/>
      <c r="NHM32" s="58"/>
      <c r="NHN32" s="58"/>
      <c r="NHO32" s="59"/>
      <c r="NHP32" s="60"/>
      <c r="NHQ32" s="54"/>
      <c r="NHR32" s="54"/>
      <c r="NHS32" s="36"/>
      <c r="NHT32" s="55"/>
      <c r="NHU32" s="54"/>
      <c r="NHV32" s="56"/>
      <c r="NHW32" s="57"/>
      <c r="NHX32" s="54"/>
      <c r="NHY32" s="54"/>
      <c r="NHZ32" s="54"/>
      <c r="NIA32" s="58"/>
      <c r="NIB32" s="58"/>
      <c r="NIC32" s="58"/>
      <c r="NID32" s="58"/>
      <c r="NIE32" s="59"/>
      <c r="NIF32" s="60"/>
      <c r="NIG32" s="54"/>
      <c r="NIH32" s="54"/>
      <c r="NII32" s="36"/>
      <c r="NIJ32" s="55"/>
      <c r="NIK32" s="54"/>
      <c r="NIL32" s="56"/>
      <c r="NIM32" s="57"/>
      <c r="NIN32" s="54"/>
      <c r="NIO32" s="54"/>
      <c r="NIP32" s="54"/>
      <c r="NIQ32" s="58"/>
      <c r="NIR32" s="58"/>
      <c r="NIS32" s="58"/>
      <c r="NIT32" s="58"/>
      <c r="NIU32" s="59"/>
      <c r="NIV32" s="60"/>
      <c r="NIW32" s="54"/>
      <c r="NIX32" s="54"/>
      <c r="NIY32" s="36"/>
      <c r="NIZ32" s="55"/>
      <c r="NJA32" s="54"/>
      <c r="NJB32" s="56"/>
      <c r="NJC32" s="57"/>
      <c r="NJD32" s="54"/>
      <c r="NJE32" s="54"/>
      <c r="NJF32" s="54"/>
      <c r="NJG32" s="58"/>
      <c r="NJH32" s="58"/>
      <c r="NJI32" s="58"/>
      <c r="NJJ32" s="58"/>
      <c r="NJK32" s="59"/>
      <c r="NJL32" s="60"/>
      <c r="NJM32" s="54"/>
      <c r="NJN32" s="54"/>
      <c r="NJO32" s="36"/>
      <c r="NJP32" s="55"/>
      <c r="NJQ32" s="54"/>
      <c r="NJR32" s="56"/>
      <c r="NJS32" s="57"/>
      <c r="NJT32" s="54"/>
      <c r="NJU32" s="54"/>
      <c r="NJV32" s="54"/>
      <c r="NJW32" s="58"/>
      <c r="NJX32" s="58"/>
      <c r="NJY32" s="58"/>
      <c r="NJZ32" s="58"/>
      <c r="NKA32" s="59"/>
      <c r="NKB32" s="60"/>
      <c r="NKC32" s="54"/>
      <c r="NKD32" s="54"/>
      <c r="NKE32" s="36"/>
      <c r="NKF32" s="55"/>
      <c r="NKG32" s="54"/>
      <c r="NKH32" s="56"/>
      <c r="NKI32" s="57"/>
      <c r="NKJ32" s="54"/>
      <c r="NKK32" s="54"/>
      <c r="NKL32" s="54"/>
      <c r="NKM32" s="58"/>
      <c r="NKN32" s="58"/>
      <c r="NKO32" s="58"/>
      <c r="NKP32" s="58"/>
      <c r="NKQ32" s="59"/>
      <c r="NKR32" s="60"/>
      <c r="NKS32" s="54"/>
      <c r="NKT32" s="54"/>
      <c r="NKU32" s="36"/>
      <c r="NKV32" s="55"/>
      <c r="NKW32" s="54"/>
      <c r="NKX32" s="56"/>
      <c r="NKY32" s="57"/>
      <c r="NKZ32" s="54"/>
      <c r="NLA32" s="54"/>
      <c r="NLB32" s="54"/>
      <c r="NLC32" s="58"/>
      <c r="NLD32" s="58"/>
      <c r="NLE32" s="58"/>
      <c r="NLF32" s="58"/>
      <c r="NLG32" s="59"/>
      <c r="NLH32" s="60"/>
      <c r="NLI32" s="54"/>
      <c r="NLJ32" s="54"/>
      <c r="NLK32" s="36"/>
      <c r="NLL32" s="55"/>
      <c r="NLM32" s="54"/>
      <c r="NLN32" s="56"/>
      <c r="NLO32" s="57"/>
      <c r="NLP32" s="54"/>
      <c r="NLQ32" s="54"/>
      <c r="NLR32" s="54"/>
      <c r="NLS32" s="58"/>
      <c r="NLT32" s="58"/>
      <c r="NLU32" s="58"/>
      <c r="NLV32" s="58"/>
      <c r="NLW32" s="59"/>
      <c r="NLX32" s="60"/>
      <c r="NLY32" s="54"/>
      <c r="NLZ32" s="54"/>
      <c r="NMA32" s="36"/>
      <c r="NMB32" s="55"/>
      <c r="NMC32" s="54"/>
      <c r="NMD32" s="56"/>
      <c r="NME32" s="57"/>
      <c r="NMF32" s="54"/>
      <c r="NMG32" s="54"/>
      <c r="NMH32" s="54"/>
      <c r="NMI32" s="58"/>
      <c r="NMJ32" s="58"/>
      <c r="NMK32" s="58"/>
      <c r="NML32" s="58"/>
      <c r="NMM32" s="59"/>
      <c r="NMN32" s="60"/>
      <c r="NMO32" s="54"/>
      <c r="NMP32" s="54"/>
      <c r="NMQ32" s="36"/>
      <c r="NMR32" s="55"/>
      <c r="NMS32" s="54"/>
      <c r="NMT32" s="56"/>
      <c r="NMU32" s="57"/>
      <c r="NMV32" s="54"/>
      <c r="NMW32" s="54"/>
      <c r="NMX32" s="54"/>
      <c r="NMY32" s="58"/>
      <c r="NMZ32" s="58"/>
      <c r="NNA32" s="58"/>
      <c r="NNB32" s="58"/>
      <c r="NNC32" s="59"/>
      <c r="NND32" s="60"/>
      <c r="NNE32" s="54"/>
      <c r="NNF32" s="54"/>
      <c r="NNG32" s="36"/>
      <c r="NNH32" s="55"/>
      <c r="NNI32" s="54"/>
      <c r="NNJ32" s="56"/>
      <c r="NNK32" s="57"/>
      <c r="NNL32" s="54"/>
      <c r="NNM32" s="54"/>
      <c r="NNN32" s="54"/>
      <c r="NNO32" s="58"/>
      <c r="NNP32" s="58"/>
      <c r="NNQ32" s="58"/>
      <c r="NNR32" s="58"/>
      <c r="NNS32" s="59"/>
      <c r="NNT32" s="60"/>
      <c r="NNU32" s="54"/>
      <c r="NNV32" s="54"/>
      <c r="NNW32" s="36"/>
      <c r="NNX32" s="55"/>
      <c r="NNY32" s="54"/>
      <c r="NNZ32" s="56"/>
      <c r="NOA32" s="57"/>
      <c r="NOB32" s="54"/>
      <c r="NOC32" s="54"/>
      <c r="NOD32" s="54"/>
      <c r="NOE32" s="58"/>
      <c r="NOF32" s="58"/>
      <c r="NOG32" s="58"/>
      <c r="NOH32" s="58"/>
      <c r="NOI32" s="59"/>
      <c r="NOJ32" s="60"/>
      <c r="NOK32" s="54"/>
      <c r="NOL32" s="54"/>
      <c r="NOM32" s="36"/>
      <c r="NON32" s="55"/>
      <c r="NOO32" s="54"/>
      <c r="NOP32" s="56"/>
      <c r="NOQ32" s="57"/>
      <c r="NOR32" s="54"/>
      <c r="NOS32" s="54"/>
      <c r="NOT32" s="54"/>
      <c r="NOU32" s="58"/>
      <c r="NOV32" s="58"/>
      <c r="NOW32" s="58"/>
      <c r="NOX32" s="58"/>
      <c r="NOY32" s="59"/>
      <c r="NOZ32" s="60"/>
      <c r="NPA32" s="54"/>
      <c r="NPB32" s="54"/>
      <c r="NPC32" s="36"/>
      <c r="NPD32" s="55"/>
      <c r="NPE32" s="54"/>
      <c r="NPF32" s="56"/>
      <c r="NPG32" s="57"/>
      <c r="NPH32" s="54"/>
      <c r="NPI32" s="54"/>
      <c r="NPJ32" s="54"/>
      <c r="NPK32" s="58"/>
      <c r="NPL32" s="58"/>
      <c r="NPM32" s="58"/>
      <c r="NPN32" s="58"/>
      <c r="NPO32" s="59"/>
      <c r="NPP32" s="60"/>
      <c r="NPQ32" s="54"/>
      <c r="NPR32" s="54"/>
      <c r="NPS32" s="36"/>
      <c r="NPT32" s="55"/>
      <c r="NPU32" s="54"/>
      <c r="NPV32" s="56"/>
      <c r="NPW32" s="57"/>
      <c r="NPX32" s="54"/>
      <c r="NPY32" s="54"/>
      <c r="NPZ32" s="54"/>
      <c r="NQA32" s="58"/>
      <c r="NQB32" s="58"/>
      <c r="NQC32" s="58"/>
      <c r="NQD32" s="58"/>
      <c r="NQE32" s="59"/>
      <c r="NQF32" s="60"/>
      <c r="NQG32" s="54"/>
      <c r="NQH32" s="54"/>
      <c r="NQI32" s="36"/>
      <c r="NQJ32" s="55"/>
      <c r="NQK32" s="54"/>
      <c r="NQL32" s="56"/>
      <c r="NQM32" s="57"/>
      <c r="NQN32" s="54"/>
      <c r="NQO32" s="54"/>
      <c r="NQP32" s="54"/>
      <c r="NQQ32" s="58"/>
      <c r="NQR32" s="58"/>
      <c r="NQS32" s="58"/>
      <c r="NQT32" s="58"/>
      <c r="NQU32" s="59"/>
      <c r="NQV32" s="60"/>
      <c r="NQW32" s="54"/>
      <c r="NQX32" s="54"/>
      <c r="NQY32" s="36"/>
      <c r="NQZ32" s="55"/>
      <c r="NRA32" s="54"/>
      <c r="NRB32" s="56"/>
      <c r="NRC32" s="57"/>
      <c r="NRD32" s="54"/>
      <c r="NRE32" s="54"/>
      <c r="NRF32" s="54"/>
      <c r="NRG32" s="58"/>
      <c r="NRH32" s="58"/>
      <c r="NRI32" s="58"/>
      <c r="NRJ32" s="58"/>
      <c r="NRK32" s="59"/>
      <c r="NRL32" s="60"/>
      <c r="NRM32" s="54"/>
      <c r="NRN32" s="54"/>
      <c r="NRO32" s="36"/>
      <c r="NRP32" s="55"/>
      <c r="NRQ32" s="54"/>
      <c r="NRR32" s="56"/>
      <c r="NRS32" s="57"/>
      <c r="NRT32" s="54"/>
      <c r="NRU32" s="54"/>
      <c r="NRV32" s="54"/>
      <c r="NRW32" s="58"/>
      <c r="NRX32" s="58"/>
      <c r="NRY32" s="58"/>
      <c r="NRZ32" s="58"/>
      <c r="NSA32" s="59"/>
      <c r="NSB32" s="60"/>
      <c r="NSC32" s="54"/>
      <c r="NSD32" s="54"/>
      <c r="NSE32" s="36"/>
      <c r="NSF32" s="55"/>
      <c r="NSG32" s="54"/>
      <c r="NSH32" s="56"/>
      <c r="NSI32" s="57"/>
      <c r="NSJ32" s="54"/>
      <c r="NSK32" s="54"/>
      <c r="NSL32" s="54"/>
      <c r="NSM32" s="58"/>
      <c r="NSN32" s="58"/>
      <c r="NSO32" s="58"/>
      <c r="NSP32" s="58"/>
      <c r="NSQ32" s="59"/>
      <c r="NSR32" s="60"/>
      <c r="NSS32" s="54"/>
      <c r="NST32" s="54"/>
      <c r="NSU32" s="36"/>
      <c r="NSV32" s="55"/>
      <c r="NSW32" s="54"/>
      <c r="NSX32" s="56"/>
      <c r="NSY32" s="57"/>
      <c r="NSZ32" s="54"/>
      <c r="NTA32" s="54"/>
      <c r="NTB32" s="54"/>
      <c r="NTC32" s="58"/>
      <c r="NTD32" s="58"/>
      <c r="NTE32" s="58"/>
      <c r="NTF32" s="58"/>
      <c r="NTG32" s="59"/>
      <c r="NTH32" s="60"/>
      <c r="NTI32" s="54"/>
      <c r="NTJ32" s="54"/>
      <c r="NTK32" s="36"/>
      <c r="NTL32" s="55"/>
      <c r="NTM32" s="54"/>
      <c r="NTN32" s="56"/>
      <c r="NTO32" s="57"/>
      <c r="NTP32" s="54"/>
      <c r="NTQ32" s="54"/>
      <c r="NTR32" s="54"/>
      <c r="NTS32" s="58"/>
      <c r="NTT32" s="58"/>
      <c r="NTU32" s="58"/>
      <c r="NTV32" s="58"/>
      <c r="NTW32" s="59"/>
      <c r="NTX32" s="60"/>
      <c r="NTY32" s="54"/>
      <c r="NTZ32" s="54"/>
      <c r="NUA32" s="36"/>
      <c r="NUB32" s="55"/>
      <c r="NUC32" s="54"/>
      <c r="NUD32" s="56"/>
      <c r="NUE32" s="57"/>
      <c r="NUF32" s="54"/>
      <c r="NUG32" s="54"/>
      <c r="NUH32" s="54"/>
      <c r="NUI32" s="58"/>
      <c r="NUJ32" s="58"/>
      <c r="NUK32" s="58"/>
      <c r="NUL32" s="58"/>
      <c r="NUM32" s="59"/>
      <c r="NUN32" s="60"/>
      <c r="NUO32" s="54"/>
      <c r="NUP32" s="54"/>
      <c r="NUQ32" s="36"/>
      <c r="NUR32" s="55"/>
      <c r="NUS32" s="54"/>
      <c r="NUT32" s="56"/>
      <c r="NUU32" s="57"/>
      <c r="NUV32" s="54"/>
      <c r="NUW32" s="54"/>
      <c r="NUX32" s="54"/>
      <c r="NUY32" s="58"/>
      <c r="NUZ32" s="58"/>
      <c r="NVA32" s="58"/>
      <c r="NVB32" s="58"/>
      <c r="NVC32" s="59"/>
      <c r="NVD32" s="60"/>
      <c r="NVE32" s="54"/>
      <c r="NVF32" s="54"/>
      <c r="NVG32" s="36"/>
      <c r="NVH32" s="55"/>
      <c r="NVI32" s="54"/>
      <c r="NVJ32" s="56"/>
      <c r="NVK32" s="57"/>
      <c r="NVL32" s="54"/>
      <c r="NVM32" s="54"/>
      <c r="NVN32" s="54"/>
      <c r="NVO32" s="58"/>
      <c r="NVP32" s="58"/>
      <c r="NVQ32" s="58"/>
      <c r="NVR32" s="58"/>
      <c r="NVS32" s="59"/>
      <c r="NVT32" s="60"/>
      <c r="NVU32" s="54"/>
      <c r="NVV32" s="54"/>
      <c r="NVW32" s="36"/>
      <c r="NVX32" s="55"/>
      <c r="NVY32" s="54"/>
      <c r="NVZ32" s="56"/>
      <c r="NWA32" s="57"/>
      <c r="NWB32" s="54"/>
      <c r="NWC32" s="54"/>
      <c r="NWD32" s="54"/>
      <c r="NWE32" s="58"/>
      <c r="NWF32" s="58"/>
      <c r="NWG32" s="58"/>
      <c r="NWH32" s="58"/>
      <c r="NWI32" s="59"/>
      <c r="NWJ32" s="60"/>
      <c r="NWK32" s="54"/>
      <c r="NWL32" s="54"/>
      <c r="NWM32" s="36"/>
      <c r="NWN32" s="55"/>
      <c r="NWO32" s="54"/>
      <c r="NWP32" s="56"/>
      <c r="NWQ32" s="57"/>
      <c r="NWR32" s="54"/>
      <c r="NWS32" s="54"/>
      <c r="NWT32" s="54"/>
      <c r="NWU32" s="58"/>
      <c r="NWV32" s="58"/>
      <c r="NWW32" s="58"/>
      <c r="NWX32" s="58"/>
      <c r="NWY32" s="59"/>
      <c r="NWZ32" s="60"/>
      <c r="NXA32" s="54"/>
      <c r="NXB32" s="54"/>
      <c r="NXC32" s="36"/>
      <c r="NXD32" s="55"/>
      <c r="NXE32" s="54"/>
      <c r="NXF32" s="56"/>
      <c r="NXG32" s="57"/>
      <c r="NXH32" s="54"/>
      <c r="NXI32" s="54"/>
      <c r="NXJ32" s="54"/>
      <c r="NXK32" s="58"/>
      <c r="NXL32" s="58"/>
      <c r="NXM32" s="58"/>
      <c r="NXN32" s="58"/>
      <c r="NXO32" s="59"/>
      <c r="NXP32" s="60"/>
      <c r="NXQ32" s="54"/>
      <c r="NXR32" s="54"/>
      <c r="NXS32" s="36"/>
      <c r="NXT32" s="55"/>
      <c r="NXU32" s="54"/>
      <c r="NXV32" s="56"/>
      <c r="NXW32" s="57"/>
      <c r="NXX32" s="54"/>
      <c r="NXY32" s="54"/>
      <c r="NXZ32" s="54"/>
      <c r="NYA32" s="58"/>
      <c r="NYB32" s="58"/>
      <c r="NYC32" s="58"/>
      <c r="NYD32" s="58"/>
      <c r="NYE32" s="59"/>
      <c r="NYF32" s="60"/>
      <c r="NYG32" s="54"/>
      <c r="NYH32" s="54"/>
      <c r="NYI32" s="36"/>
      <c r="NYJ32" s="55"/>
      <c r="NYK32" s="54"/>
      <c r="NYL32" s="56"/>
      <c r="NYM32" s="57"/>
      <c r="NYN32" s="54"/>
      <c r="NYO32" s="54"/>
      <c r="NYP32" s="54"/>
      <c r="NYQ32" s="58"/>
      <c r="NYR32" s="58"/>
      <c r="NYS32" s="58"/>
      <c r="NYT32" s="58"/>
      <c r="NYU32" s="59"/>
      <c r="NYV32" s="60"/>
      <c r="NYW32" s="54"/>
      <c r="NYX32" s="54"/>
      <c r="NYY32" s="36"/>
      <c r="NYZ32" s="55"/>
      <c r="NZA32" s="54"/>
      <c r="NZB32" s="56"/>
      <c r="NZC32" s="57"/>
      <c r="NZD32" s="54"/>
      <c r="NZE32" s="54"/>
      <c r="NZF32" s="54"/>
      <c r="NZG32" s="58"/>
      <c r="NZH32" s="58"/>
      <c r="NZI32" s="58"/>
      <c r="NZJ32" s="58"/>
      <c r="NZK32" s="59"/>
      <c r="NZL32" s="60"/>
      <c r="NZM32" s="54"/>
      <c r="NZN32" s="54"/>
      <c r="NZO32" s="36"/>
      <c r="NZP32" s="55"/>
      <c r="NZQ32" s="54"/>
      <c r="NZR32" s="56"/>
      <c r="NZS32" s="57"/>
      <c r="NZT32" s="54"/>
      <c r="NZU32" s="54"/>
      <c r="NZV32" s="54"/>
      <c r="NZW32" s="58"/>
      <c r="NZX32" s="58"/>
      <c r="NZY32" s="58"/>
      <c r="NZZ32" s="58"/>
      <c r="OAA32" s="59"/>
      <c r="OAB32" s="60"/>
      <c r="OAC32" s="54"/>
      <c r="OAD32" s="54"/>
      <c r="OAE32" s="36"/>
      <c r="OAF32" s="55"/>
      <c r="OAG32" s="54"/>
      <c r="OAH32" s="56"/>
      <c r="OAI32" s="57"/>
      <c r="OAJ32" s="54"/>
      <c r="OAK32" s="54"/>
      <c r="OAL32" s="54"/>
      <c r="OAM32" s="58"/>
      <c r="OAN32" s="58"/>
      <c r="OAO32" s="58"/>
      <c r="OAP32" s="58"/>
      <c r="OAQ32" s="59"/>
      <c r="OAR32" s="60"/>
      <c r="OAS32" s="54"/>
      <c r="OAT32" s="54"/>
      <c r="OAU32" s="36"/>
      <c r="OAV32" s="55"/>
      <c r="OAW32" s="54"/>
      <c r="OAX32" s="56"/>
      <c r="OAY32" s="57"/>
      <c r="OAZ32" s="54"/>
      <c r="OBA32" s="54"/>
      <c r="OBB32" s="54"/>
      <c r="OBC32" s="58"/>
      <c r="OBD32" s="58"/>
      <c r="OBE32" s="58"/>
      <c r="OBF32" s="58"/>
      <c r="OBG32" s="59"/>
      <c r="OBH32" s="60"/>
      <c r="OBI32" s="54"/>
      <c r="OBJ32" s="54"/>
      <c r="OBK32" s="36"/>
      <c r="OBL32" s="55"/>
      <c r="OBM32" s="54"/>
      <c r="OBN32" s="56"/>
      <c r="OBO32" s="57"/>
      <c r="OBP32" s="54"/>
      <c r="OBQ32" s="54"/>
      <c r="OBR32" s="54"/>
      <c r="OBS32" s="58"/>
      <c r="OBT32" s="58"/>
      <c r="OBU32" s="58"/>
      <c r="OBV32" s="58"/>
      <c r="OBW32" s="59"/>
      <c r="OBX32" s="60"/>
      <c r="OBY32" s="54"/>
      <c r="OBZ32" s="54"/>
      <c r="OCA32" s="36"/>
      <c r="OCB32" s="55"/>
      <c r="OCC32" s="54"/>
      <c r="OCD32" s="56"/>
      <c r="OCE32" s="57"/>
      <c r="OCF32" s="54"/>
      <c r="OCG32" s="54"/>
      <c r="OCH32" s="54"/>
      <c r="OCI32" s="58"/>
      <c r="OCJ32" s="58"/>
      <c r="OCK32" s="58"/>
      <c r="OCL32" s="58"/>
      <c r="OCM32" s="59"/>
      <c r="OCN32" s="60"/>
      <c r="OCO32" s="54"/>
      <c r="OCP32" s="54"/>
      <c r="OCQ32" s="36"/>
      <c r="OCR32" s="55"/>
      <c r="OCS32" s="54"/>
      <c r="OCT32" s="56"/>
      <c r="OCU32" s="57"/>
      <c r="OCV32" s="54"/>
      <c r="OCW32" s="54"/>
      <c r="OCX32" s="54"/>
      <c r="OCY32" s="58"/>
      <c r="OCZ32" s="58"/>
      <c r="ODA32" s="58"/>
      <c r="ODB32" s="58"/>
      <c r="ODC32" s="59"/>
      <c r="ODD32" s="60"/>
      <c r="ODE32" s="54"/>
      <c r="ODF32" s="54"/>
      <c r="ODG32" s="36"/>
      <c r="ODH32" s="55"/>
      <c r="ODI32" s="54"/>
      <c r="ODJ32" s="56"/>
      <c r="ODK32" s="57"/>
      <c r="ODL32" s="54"/>
      <c r="ODM32" s="54"/>
      <c r="ODN32" s="54"/>
      <c r="ODO32" s="58"/>
      <c r="ODP32" s="58"/>
      <c r="ODQ32" s="58"/>
      <c r="ODR32" s="58"/>
      <c r="ODS32" s="59"/>
      <c r="ODT32" s="60"/>
      <c r="ODU32" s="54"/>
      <c r="ODV32" s="54"/>
      <c r="ODW32" s="36"/>
      <c r="ODX32" s="55"/>
      <c r="ODY32" s="54"/>
      <c r="ODZ32" s="56"/>
      <c r="OEA32" s="57"/>
      <c r="OEB32" s="54"/>
      <c r="OEC32" s="54"/>
      <c r="OED32" s="54"/>
      <c r="OEE32" s="58"/>
      <c r="OEF32" s="58"/>
      <c r="OEG32" s="58"/>
      <c r="OEH32" s="58"/>
      <c r="OEI32" s="59"/>
      <c r="OEJ32" s="60"/>
      <c r="OEK32" s="54"/>
      <c r="OEL32" s="54"/>
      <c r="OEM32" s="36"/>
      <c r="OEN32" s="55"/>
      <c r="OEO32" s="54"/>
      <c r="OEP32" s="56"/>
      <c r="OEQ32" s="57"/>
      <c r="OER32" s="54"/>
      <c r="OES32" s="54"/>
      <c r="OET32" s="54"/>
      <c r="OEU32" s="58"/>
      <c r="OEV32" s="58"/>
      <c r="OEW32" s="58"/>
      <c r="OEX32" s="58"/>
      <c r="OEY32" s="59"/>
      <c r="OEZ32" s="60"/>
      <c r="OFA32" s="54"/>
      <c r="OFB32" s="54"/>
      <c r="OFC32" s="36"/>
      <c r="OFD32" s="55"/>
      <c r="OFE32" s="54"/>
      <c r="OFF32" s="56"/>
      <c r="OFG32" s="57"/>
      <c r="OFH32" s="54"/>
      <c r="OFI32" s="54"/>
      <c r="OFJ32" s="54"/>
      <c r="OFK32" s="58"/>
      <c r="OFL32" s="58"/>
      <c r="OFM32" s="58"/>
      <c r="OFN32" s="58"/>
      <c r="OFO32" s="59"/>
      <c r="OFP32" s="60"/>
      <c r="OFQ32" s="54"/>
      <c r="OFR32" s="54"/>
      <c r="OFS32" s="36"/>
      <c r="OFT32" s="55"/>
      <c r="OFU32" s="54"/>
      <c r="OFV32" s="56"/>
      <c r="OFW32" s="57"/>
      <c r="OFX32" s="54"/>
      <c r="OFY32" s="54"/>
      <c r="OFZ32" s="54"/>
      <c r="OGA32" s="58"/>
      <c r="OGB32" s="58"/>
      <c r="OGC32" s="58"/>
      <c r="OGD32" s="58"/>
      <c r="OGE32" s="59"/>
      <c r="OGF32" s="60"/>
      <c r="OGG32" s="54"/>
      <c r="OGH32" s="54"/>
      <c r="OGI32" s="36"/>
      <c r="OGJ32" s="55"/>
      <c r="OGK32" s="54"/>
      <c r="OGL32" s="56"/>
      <c r="OGM32" s="57"/>
      <c r="OGN32" s="54"/>
      <c r="OGO32" s="54"/>
      <c r="OGP32" s="54"/>
      <c r="OGQ32" s="58"/>
      <c r="OGR32" s="58"/>
      <c r="OGS32" s="58"/>
      <c r="OGT32" s="58"/>
      <c r="OGU32" s="59"/>
      <c r="OGV32" s="60"/>
      <c r="OGW32" s="54"/>
      <c r="OGX32" s="54"/>
      <c r="OGY32" s="36"/>
      <c r="OGZ32" s="55"/>
      <c r="OHA32" s="54"/>
      <c r="OHB32" s="56"/>
      <c r="OHC32" s="57"/>
      <c r="OHD32" s="54"/>
      <c r="OHE32" s="54"/>
      <c r="OHF32" s="54"/>
      <c r="OHG32" s="58"/>
      <c r="OHH32" s="58"/>
      <c r="OHI32" s="58"/>
      <c r="OHJ32" s="58"/>
      <c r="OHK32" s="59"/>
      <c r="OHL32" s="60"/>
      <c r="OHM32" s="54"/>
      <c r="OHN32" s="54"/>
      <c r="OHO32" s="36"/>
      <c r="OHP32" s="55"/>
      <c r="OHQ32" s="54"/>
      <c r="OHR32" s="56"/>
      <c r="OHS32" s="57"/>
      <c r="OHT32" s="54"/>
      <c r="OHU32" s="54"/>
      <c r="OHV32" s="54"/>
      <c r="OHW32" s="58"/>
      <c r="OHX32" s="58"/>
      <c r="OHY32" s="58"/>
      <c r="OHZ32" s="58"/>
      <c r="OIA32" s="59"/>
      <c r="OIB32" s="60"/>
      <c r="OIC32" s="54"/>
      <c r="OID32" s="54"/>
      <c r="OIE32" s="36"/>
      <c r="OIF32" s="55"/>
      <c r="OIG32" s="54"/>
      <c r="OIH32" s="56"/>
      <c r="OII32" s="57"/>
      <c r="OIJ32" s="54"/>
      <c r="OIK32" s="54"/>
      <c r="OIL32" s="54"/>
      <c r="OIM32" s="58"/>
      <c r="OIN32" s="58"/>
      <c r="OIO32" s="58"/>
      <c r="OIP32" s="58"/>
      <c r="OIQ32" s="59"/>
      <c r="OIR32" s="60"/>
      <c r="OIS32" s="54"/>
      <c r="OIT32" s="54"/>
      <c r="OIU32" s="36"/>
      <c r="OIV32" s="55"/>
      <c r="OIW32" s="54"/>
      <c r="OIX32" s="56"/>
      <c r="OIY32" s="57"/>
      <c r="OIZ32" s="54"/>
      <c r="OJA32" s="54"/>
      <c r="OJB32" s="54"/>
      <c r="OJC32" s="58"/>
      <c r="OJD32" s="58"/>
      <c r="OJE32" s="58"/>
      <c r="OJF32" s="58"/>
      <c r="OJG32" s="59"/>
      <c r="OJH32" s="60"/>
      <c r="OJI32" s="54"/>
      <c r="OJJ32" s="54"/>
      <c r="OJK32" s="36"/>
      <c r="OJL32" s="55"/>
      <c r="OJM32" s="54"/>
      <c r="OJN32" s="56"/>
      <c r="OJO32" s="57"/>
      <c r="OJP32" s="54"/>
      <c r="OJQ32" s="54"/>
      <c r="OJR32" s="54"/>
      <c r="OJS32" s="58"/>
      <c r="OJT32" s="58"/>
      <c r="OJU32" s="58"/>
      <c r="OJV32" s="58"/>
      <c r="OJW32" s="59"/>
      <c r="OJX32" s="60"/>
      <c r="OJY32" s="54"/>
      <c r="OJZ32" s="54"/>
      <c r="OKA32" s="36"/>
      <c r="OKB32" s="55"/>
      <c r="OKC32" s="54"/>
      <c r="OKD32" s="56"/>
      <c r="OKE32" s="57"/>
      <c r="OKF32" s="54"/>
      <c r="OKG32" s="54"/>
      <c r="OKH32" s="54"/>
      <c r="OKI32" s="58"/>
      <c r="OKJ32" s="58"/>
      <c r="OKK32" s="58"/>
      <c r="OKL32" s="58"/>
      <c r="OKM32" s="59"/>
      <c r="OKN32" s="60"/>
      <c r="OKO32" s="54"/>
      <c r="OKP32" s="54"/>
      <c r="OKQ32" s="36"/>
      <c r="OKR32" s="55"/>
      <c r="OKS32" s="54"/>
      <c r="OKT32" s="56"/>
      <c r="OKU32" s="57"/>
      <c r="OKV32" s="54"/>
      <c r="OKW32" s="54"/>
      <c r="OKX32" s="54"/>
      <c r="OKY32" s="58"/>
      <c r="OKZ32" s="58"/>
      <c r="OLA32" s="58"/>
      <c r="OLB32" s="58"/>
      <c r="OLC32" s="59"/>
      <c r="OLD32" s="60"/>
      <c r="OLE32" s="54"/>
      <c r="OLF32" s="54"/>
      <c r="OLG32" s="36"/>
      <c r="OLH32" s="55"/>
      <c r="OLI32" s="54"/>
      <c r="OLJ32" s="56"/>
      <c r="OLK32" s="57"/>
      <c r="OLL32" s="54"/>
      <c r="OLM32" s="54"/>
      <c r="OLN32" s="54"/>
      <c r="OLO32" s="58"/>
      <c r="OLP32" s="58"/>
      <c r="OLQ32" s="58"/>
      <c r="OLR32" s="58"/>
      <c r="OLS32" s="59"/>
      <c r="OLT32" s="60"/>
      <c r="OLU32" s="54"/>
      <c r="OLV32" s="54"/>
      <c r="OLW32" s="36"/>
      <c r="OLX32" s="55"/>
      <c r="OLY32" s="54"/>
      <c r="OLZ32" s="56"/>
      <c r="OMA32" s="57"/>
      <c r="OMB32" s="54"/>
      <c r="OMC32" s="54"/>
      <c r="OMD32" s="54"/>
      <c r="OME32" s="58"/>
      <c r="OMF32" s="58"/>
      <c r="OMG32" s="58"/>
      <c r="OMH32" s="58"/>
      <c r="OMI32" s="59"/>
      <c r="OMJ32" s="60"/>
      <c r="OMK32" s="54"/>
      <c r="OML32" s="54"/>
      <c r="OMM32" s="36"/>
      <c r="OMN32" s="55"/>
      <c r="OMO32" s="54"/>
      <c r="OMP32" s="56"/>
      <c r="OMQ32" s="57"/>
      <c r="OMR32" s="54"/>
      <c r="OMS32" s="54"/>
      <c r="OMT32" s="54"/>
      <c r="OMU32" s="58"/>
      <c r="OMV32" s="58"/>
      <c r="OMW32" s="58"/>
      <c r="OMX32" s="58"/>
      <c r="OMY32" s="59"/>
      <c r="OMZ32" s="60"/>
      <c r="ONA32" s="54"/>
      <c r="ONB32" s="54"/>
      <c r="ONC32" s="36"/>
      <c r="OND32" s="55"/>
      <c r="ONE32" s="54"/>
      <c r="ONF32" s="56"/>
      <c r="ONG32" s="57"/>
      <c r="ONH32" s="54"/>
      <c r="ONI32" s="54"/>
      <c r="ONJ32" s="54"/>
      <c r="ONK32" s="58"/>
      <c r="ONL32" s="58"/>
      <c r="ONM32" s="58"/>
      <c r="ONN32" s="58"/>
      <c r="ONO32" s="59"/>
      <c r="ONP32" s="60"/>
      <c r="ONQ32" s="54"/>
      <c r="ONR32" s="54"/>
      <c r="ONS32" s="36"/>
      <c r="ONT32" s="55"/>
      <c r="ONU32" s="54"/>
      <c r="ONV32" s="56"/>
      <c r="ONW32" s="57"/>
      <c r="ONX32" s="54"/>
      <c r="ONY32" s="54"/>
      <c r="ONZ32" s="54"/>
      <c r="OOA32" s="58"/>
      <c r="OOB32" s="58"/>
      <c r="OOC32" s="58"/>
      <c r="OOD32" s="58"/>
      <c r="OOE32" s="59"/>
      <c r="OOF32" s="60"/>
      <c r="OOG32" s="54"/>
      <c r="OOH32" s="54"/>
      <c r="OOI32" s="36"/>
      <c r="OOJ32" s="55"/>
      <c r="OOK32" s="54"/>
      <c r="OOL32" s="56"/>
      <c r="OOM32" s="57"/>
      <c r="OON32" s="54"/>
      <c r="OOO32" s="54"/>
      <c r="OOP32" s="54"/>
      <c r="OOQ32" s="58"/>
      <c r="OOR32" s="58"/>
      <c r="OOS32" s="58"/>
      <c r="OOT32" s="58"/>
      <c r="OOU32" s="59"/>
      <c r="OOV32" s="60"/>
      <c r="OOW32" s="54"/>
      <c r="OOX32" s="54"/>
      <c r="OOY32" s="36"/>
      <c r="OOZ32" s="55"/>
      <c r="OPA32" s="54"/>
      <c r="OPB32" s="56"/>
      <c r="OPC32" s="57"/>
      <c r="OPD32" s="54"/>
      <c r="OPE32" s="54"/>
      <c r="OPF32" s="54"/>
      <c r="OPG32" s="58"/>
      <c r="OPH32" s="58"/>
      <c r="OPI32" s="58"/>
      <c r="OPJ32" s="58"/>
      <c r="OPK32" s="59"/>
      <c r="OPL32" s="60"/>
      <c r="OPM32" s="54"/>
      <c r="OPN32" s="54"/>
      <c r="OPO32" s="36"/>
      <c r="OPP32" s="55"/>
      <c r="OPQ32" s="54"/>
      <c r="OPR32" s="56"/>
      <c r="OPS32" s="57"/>
      <c r="OPT32" s="54"/>
      <c r="OPU32" s="54"/>
      <c r="OPV32" s="54"/>
      <c r="OPW32" s="58"/>
      <c r="OPX32" s="58"/>
      <c r="OPY32" s="58"/>
      <c r="OPZ32" s="58"/>
      <c r="OQA32" s="59"/>
      <c r="OQB32" s="60"/>
      <c r="OQC32" s="54"/>
      <c r="OQD32" s="54"/>
      <c r="OQE32" s="36"/>
      <c r="OQF32" s="55"/>
      <c r="OQG32" s="54"/>
      <c r="OQH32" s="56"/>
      <c r="OQI32" s="57"/>
      <c r="OQJ32" s="54"/>
      <c r="OQK32" s="54"/>
      <c r="OQL32" s="54"/>
      <c r="OQM32" s="58"/>
      <c r="OQN32" s="58"/>
      <c r="OQO32" s="58"/>
      <c r="OQP32" s="58"/>
      <c r="OQQ32" s="59"/>
      <c r="OQR32" s="60"/>
      <c r="OQS32" s="54"/>
      <c r="OQT32" s="54"/>
      <c r="OQU32" s="36"/>
      <c r="OQV32" s="55"/>
      <c r="OQW32" s="54"/>
      <c r="OQX32" s="56"/>
      <c r="OQY32" s="57"/>
      <c r="OQZ32" s="54"/>
      <c r="ORA32" s="54"/>
      <c r="ORB32" s="54"/>
      <c r="ORC32" s="58"/>
      <c r="ORD32" s="58"/>
      <c r="ORE32" s="58"/>
      <c r="ORF32" s="58"/>
      <c r="ORG32" s="59"/>
      <c r="ORH32" s="60"/>
      <c r="ORI32" s="54"/>
      <c r="ORJ32" s="54"/>
      <c r="ORK32" s="36"/>
      <c r="ORL32" s="55"/>
      <c r="ORM32" s="54"/>
      <c r="ORN32" s="56"/>
      <c r="ORO32" s="57"/>
      <c r="ORP32" s="54"/>
      <c r="ORQ32" s="54"/>
      <c r="ORR32" s="54"/>
      <c r="ORS32" s="58"/>
      <c r="ORT32" s="58"/>
      <c r="ORU32" s="58"/>
      <c r="ORV32" s="58"/>
      <c r="ORW32" s="59"/>
      <c r="ORX32" s="60"/>
      <c r="ORY32" s="54"/>
      <c r="ORZ32" s="54"/>
      <c r="OSA32" s="36"/>
      <c r="OSB32" s="55"/>
      <c r="OSC32" s="54"/>
      <c r="OSD32" s="56"/>
      <c r="OSE32" s="57"/>
      <c r="OSF32" s="54"/>
      <c r="OSG32" s="54"/>
      <c r="OSH32" s="54"/>
      <c r="OSI32" s="58"/>
      <c r="OSJ32" s="58"/>
      <c r="OSK32" s="58"/>
      <c r="OSL32" s="58"/>
      <c r="OSM32" s="59"/>
      <c r="OSN32" s="60"/>
      <c r="OSO32" s="54"/>
      <c r="OSP32" s="54"/>
      <c r="OSQ32" s="36"/>
      <c r="OSR32" s="55"/>
      <c r="OSS32" s="54"/>
      <c r="OST32" s="56"/>
      <c r="OSU32" s="57"/>
      <c r="OSV32" s="54"/>
      <c r="OSW32" s="54"/>
      <c r="OSX32" s="54"/>
      <c r="OSY32" s="58"/>
      <c r="OSZ32" s="58"/>
      <c r="OTA32" s="58"/>
      <c r="OTB32" s="58"/>
      <c r="OTC32" s="59"/>
      <c r="OTD32" s="60"/>
      <c r="OTE32" s="54"/>
      <c r="OTF32" s="54"/>
      <c r="OTG32" s="36"/>
      <c r="OTH32" s="55"/>
      <c r="OTI32" s="54"/>
      <c r="OTJ32" s="56"/>
      <c r="OTK32" s="57"/>
      <c r="OTL32" s="54"/>
      <c r="OTM32" s="54"/>
      <c r="OTN32" s="54"/>
      <c r="OTO32" s="58"/>
      <c r="OTP32" s="58"/>
      <c r="OTQ32" s="58"/>
      <c r="OTR32" s="58"/>
      <c r="OTS32" s="59"/>
      <c r="OTT32" s="60"/>
      <c r="OTU32" s="54"/>
      <c r="OTV32" s="54"/>
      <c r="OTW32" s="36"/>
      <c r="OTX32" s="55"/>
      <c r="OTY32" s="54"/>
      <c r="OTZ32" s="56"/>
      <c r="OUA32" s="57"/>
      <c r="OUB32" s="54"/>
      <c r="OUC32" s="54"/>
      <c r="OUD32" s="54"/>
      <c r="OUE32" s="58"/>
      <c r="OUF32" s="58"/>
      <c r="OUG32" s="58"/>
      <c r="OUH32" s="58"/>
      <c r="OUI32" s="59"/>
      <c r="OUJ32" s="60"/>
      <c r="OUK32" s="54"/>
      <c r="OUL32" s="54"/>
      <c r="OUM32" s="36"/>
      <c r="OUN32" s="55"/>
      <c r="OUO32" s="54"/>
      <c r="OUP32" s="56"/>
      <c r="OUQ32" s="57"/>
      <c r="OUR32" s="54"/>
      <c r="OUS32" s="54"/>
      <c r="OUT32" s="54"/>
      <c r="OUU32" s="58"/>
      <c r="OUV32" s="58"/>
      <c r="OUW32" s="58"/>
      <c r="OUX32" s="58"/>
      <c r="OUY32" s="59"/>
      <c r="OUZ32" s="60"/>
      <c r="OVA32" s="54"/>
      <c r="OVB32" s="54"/>
      <c r="OVC32" s="36"/>
      <c r="OVD32" s="55"/>
      <c r="OVE32" s="54"/>
      <c r="OVF32" s="56"/>
      <c r="OVG32" s="57"/>
      <c r="OVH32" s="54"/>
      <c r="OVI32" s="54"/>
      <c r="OVJ32" s="54"/>
      <c r="OVK32" s="58"/>
      <c r="OVL32" s="58"/>
      <c r="OVM32" s="58"/>
      <c r="OVN32" s="58"/>
      <c r="OVO32" s="59"/>
      <c r="OVP32" s="60"/>
      <c r="OVQ32" s="54"/>
      <c r="OVR32" s="54"/>
      <c r="OVS32" s="36"/>
      <c r="OVT32" s="55"/>
      <c r="OVU32" s="54"/>
      <c r="OVV32" s="56"/>
      <c r="OVW32" s="57"/>
      <c r="OVX32" s="54"/>
      <c r="OVY32" s="54"/>
      <c r="OVZ32" s="54"/>
      <c r="OWA32" s="58"/>
      <c r="OWB32" s="58"/>
      <c r="OWC32" s="58"/>
      <c r="OWD32" s="58"/>
      <c r="OWE32" s="59"/>
      <c r="OWF32" s="60"/>
      <c r="OWG32" s="54"/>
      <c r="OWH32" s="54"/>
      <c r="OWI32" s="36"/>
      <c r="OWJ32" s="55"/>
      <c r="OWK32" s="54"/>
      <c r="OWL32" s="56"/>
      <c r="OWM32" s="57"/>
      <c r="OWN32" s="54"/>
      <c r="OWO32" s="54"/>
      <c r="OWP32" s="54"/>
      <c r="OWQ32" s="58"/>
      <c r="OWR32" s="58"/>
      <c r="OWS32" s="58"/>
      <c r="OWT32" s="58"/>
      <c r="OWU32" s="59"/>
      <c r="OWV32" s="60"/>
      <c r="OWW32" s="54"/>
      <c r="OWX32" s="54"/>
      <c r="OWY32" s="36"/>
      <c r="OWZ32" s="55"/>
      <c r="OXA32" s="54"/>
      <c r="OXB32" s="56"/>
      <c r="OXC32" s="57"/>
      <c r="OXD32" s="54"/>
      <c r="OXE32" s="54"/>
      <c r="OXF32" s="54"/>
      <c r="OXG32" s="58"/>
      <c r="OXH32" s="58"/>
      <c r="OXI32" s="58"/>
      <c r="OXJ32" s="58"/>
      <c r="OXK32" s="59"/>
      <c r="OXL32" s="60"/>
      <c r="OXM32" s="54"/>
      <c r="OXN32" s="54"/>
      <c r="OXO32" s="36"/>
      <c r="OXP32" s="55"/>
      <c r="OXQ32" s="54"/>
      <c r="OXR32" s="56"/>
      <c r="OXS32" s="57"/>
      <c r="OXT32" s="54"/>
      <c r="OXU32" s="54"/>
      <c r="OXV32" s="54"/>
      <c r="OXW32" s="58"/>
      <c r="OXX32" s="58"/>
      <c r="OXY32" s="58"/>
      <c r="OXZ32" s="58"/>
      <c r="OYA32" s="59"/>
      <c r="OYB32" s="60"/>
      <c r="OYC32" s="54"/>
      <c r="OYD32" s="54"/>
      <c r="OYE32" s="36"/>
      <c r="OYF32" s="55"/>
      <c r="OYG32" s="54"/>
      <c r="OYH32" s="56"/>
      <c r="OYI32" s="57"/>
      <c r="OYJ32" s="54"/>
      <c r="OYK32" s="54"/>
      <c r="OYL32" s="54"/>
      <c r="OYM32" s="58"/>
      <c r="OYN32" s="58"/>
      <c r="OYO32" s="58"/>
      <c r="OYP32" s="58"/>
      <c r="OYQ32" s="59"/>
      <c r="OYR32" s="60"/>
      <c r="OYS32" s="54"/>
      <c r="OYT32" s="54"/>
      <c r="OYU32" s="36"/>
      <c r="OYV32" s="55"/>
      <c r="OYW32" s="54"/>
      <c r="OYX32" s="56"/>
      <c r="OYY32" s="57"/>
      <c r="OYZ32" s="54"/>
      <c r="OZA32" s="54"/>
      <c r="OZB32" s="54"/>
      <c r="OZC32" s="58"/>
      <c r="OZD32" s="58"/>
      <c r="OZE32" s="58"/>
      <c r="OZF32" s="58"/>
      <c r="OZG32" s="59"/>
      <c r="OZH32" s="60"/>
      <c r="OZI32" s="54"/>
      <c r="OZJ32" s="54"/>
      <c r="OZK32" s="36"/>
      <c r="OZL32" s="55"/>
      <c r="OZM32" s="54"/>
      <c r="OZN32" s="56"/>
      <c r="OZO32" s="57"/>
      <c r="OZP32" s="54"/>
      <c r="OZQ32" s="54"/>
      <c r="OZR32" s="54"/>
      <c r="OZS32" s="58"/>
      <c r="OZT32" s="58"/>
      <c r="OZU32" s="58"/>
      <c r="OZV32" s="58"/>
      <c r="OZW32" s="59"/>
      <c r="OZX32" s="60"/>
      <c r="OZY32" s="54"/>
      <c r="OZZ32" s="54"/>
      <c r="PAA32" s="36"/>
      <c r="PAB32" s="55"/>
      <c r="PAC32" s="54"/>
      <c r="PAD32" s="56"/>
      <c r="PAE32" s="57"/>
      <c r="PAF32" s="54"/>
      <c r="PAG32" s="54"/>
      <c r="PAH32" s="54"/>
      <c r="PAI32" s="58"/>
      <c r="PAJ32" s="58"/>
      <c r="PAK32" s="58"/>
      <c r="PAL32" s="58"/>
      <c r="PAM32" s="59"/>
      <c r="PAN32" s="60"/>
      <c r="PAO32" s="54"/>
      <c r="PAP32" s="54"/>
      <c r="PAQ32" s="36"/>
      <c r="PAR32" s="55"/>
      <c r="PAS32" s="54"/>
      <c r="PAT32" s="56"/>
      <c r="PAU32" s="57"/>
      <c r="PAV32" s="54"/>
      <c r="PAW32" s="54"/>
      <c r="PAX32" s="54"/>
      <c r="PAY32" s="58"/>
      <c r="PAZ32" s="58"/>
      <c r="PBA32" s="58"/>
      <c r="PBB32" s="58"/>
      <c r="PBC32" s="59"/>
      <c r="PBD32" s="60"/>
      <c r="PBE32" s="54"/>
      <c r="PBF32" s="54"/>
      <c r="PBG32" s="36"/>
      <c r="PBH32" s="55"/>
      <c r="PBI32" s="54"/>
      <c r="PBJ32" s="56"/>
      <c r="PBK32" s="57"/>
      <c r="PBL32" s="54"/>
      <c r="PBM32" s="54"/>
      <c r="PBN32" s="54"/>
      <c r="PBO32" s="58"/>
      <c r="PBP32" s="58"/>
      <c r="PBQ32" s="58"/>
      <c r="PBR32" s="58"/>
      <c r="PBS32" s="59"/>
      <c r="PBT32" s="60"/>
      <c r="PBU32" s="54"/>
      <c r="PBV32" s="54"/>
      <c r="PBW32" s="36"/>
      <c r="PBX32" s="55"/>
      <c r="PBY32" s="54"/>
      <c r="PBZ32" s="56"/>
      <c r="PCA32" s="57"/>
      <c r="PCB32" s="54"/>
      <c r="PCC32" s="54"/>
      <c r="PCD32" s="54"/>
      <c r="PCE32" s="58"/>
      <c r="PCF32" s="58"/>
      <c r="PCG32" s="58"/>
      <c r="PCH32" s="58"/>
      <c r="PCI32" s="59"/>
      <c r="PCJ32" s="60"/>
      <c r="PCK32" s="54"/>
      <c r="PCL32" s="54"/>
      <c r="PCM32" s="36"/>
      <c r="PCN32" s="55"/>
      <c r="PCO32" s="54"/>
      <c r="PCP32" s="56"/>
      <c r="PCQ32" s="57"/>
      <c r="PCR32" s="54"/>
      <c r="PCS32" s="54"/>
      <c r="PCT32" s="54"/>
      <c r="PCU32" s="58"/>
      <c r="PCV32" s="58"/>
      <c r="PCW32" s="58"/>
      <c r="PCX32" s="58"/>
      <c r="PCY32" s="59"/>
      <c r="PCZ32" s="60"/>
      <c r="PDA32" s="54"/>
      <c r="PDB32" s="54"/>
      <c r="PDC32" s="36"/>
      <c r="PDD32" s="55"/>
      <c r="PDE32" s="54"/>
      <c r="PDF32" s="56"/>
      <c r="PDG32" s="57"/>
      <c r="PDH32" s="54"/>
      <c r="PDI32" s="54"/>
      <c r="PDJ32" s="54"/>
      <c r="PDK32" s="58"/>
      <c r="PDL32" s="58"/>
      <c r="PDM32" s="58"/>
      <c r="PDN32" s="58"/>
      <c r="PDO32" s="59"/>
      <c r="PDP32" s="60"/>
      <c r="PDQ32" s="54"/>
      <c r="PDR32" s="54"/>
      <c r="PDS32" s="36"/>
      <c r="PDT32" s="55"/>
      <c r="PDU32" s="54"/>
      <c r="PDV32" s="56"/>
      <c r="PDW32" s="57"/>
      <c r="PDX32" s="54"/>
      <c r="PDY32" s="54"/>
      <c r="PDZ32" s="54"/>
      <c r="PEA32" s="58"/>
      <c r="PEB32" s="58"/>
      <c r="PEC32" s="58"/>
      <c r="PED32" s="58"/>
      <c r="PEE32" s="59"/>
      <c r="PEF32" s="60"/>
      <c r="PEG32" s="54"/>
      <c r="PEH32" s="54"/>
      <c r="PEI32" s="36"/>
      <c r="PEJ32" s="55"/>
      <c r="PEK32" s="54"/>
      <c r="PEL32" s="56"/>
      <c r="PEM32" s="57"/>
      <c r="PEN32" s="54"/>
      <c r="PEO32" s="54"/>
      <c r="PEP32" s="54"/>
      <c r="PEQ32" s="58"/>
      <c r="PER32" s="58"/>
      <c r="PES32" s="58"/>
      <c r="PET32" s="58"/>
      <c r="PEU32" s="59"/>
      <c r="PEV32" s="60"/>
      <c r="PEW32" s="54"/>
      <c r="PEX32" s="54"/>
      <c r="PEY32" s="36"/>
      <c r="PEZ32" s="55"/>
      <c r="PFA32" s="54"/>
      <c r="PFB32" s="56"/>
      <c r="PFC32" s="57"/>
      <c r="PFD32" s="54"/>
      <c r="PFE32" s="54"/>
      <c r="PFF32" s="54"/>
      <c r="PFG32" s="58"/>
      <c r="PFH32" s="58"/>
      <c r="PFI32" s="58"/>
      <c r="PFJ32" s="58"/>
      <c r="PFK32" s="59"/>
      <c r="PFL32" s="60"/>
      <c r="PFM32" s="54"/>
      <c r="PFN32" s="54"/>
      <c r="PFO32" s="36"/>
      <c r="PFP32" s="55"/>
      <c r="PFQ32" s="54"/>
      <c r="PFR32" s="56"/>
      <c r="PFS32" s="57"/>
      <c r="PFT32" s="54"/>
      <c r="PFU32" s="54"/>
      <c r="PFV32" s="54"/>
      <c r="PFW32" s="58"/>
      <c r="PFX32" s="58"/>
      <c r="PFY32" s="58"/>
      <c r="PFZ32" s="58"/>
      <c r="PGA32" s="59"/>
      <c r="PGB32" s="60"/>
      <c r="PGC32" s="54"/>
      <c r="PGD32" s="54"/>
      <c r="PGE32" s="36"/>
      <c r="PGF32" s="55"/>
      <c r="PGG32" s="54"/>
      <c r="PGH32" s="56"/>
      <c r="PGI32" s="57"/>
      <c r="PGJ32" s="54"/>
      <c r="PGK32" s="54"/>
      <c r="PGL32" s="54"/>
      <c r="PGM32" s="58"/>
      <c r="PGN32" s="58"/>
      <c r="PGO32" s="58"/>
      <c r="PGP32" s="58"/>
      <c r="PGQ32" s="59"/>
      <c r="PGR32" s="60"/>
      <c r="PGS32" s="54"/>
      <c r="PGT32" s="54"/>
      <c r="PGU32" s="36"/>
      <c r="PGV32" s="55"/>
      <c r="PGW32" s="54"/>
      <c r="PGX32" s="56"/>
      <c r="PGY32" s="57"/>
      <c r="PGZ32" s="54"/>
      <c r="PHA32" s="54"/>
      <c r="PHB32" s="54"/>
      <c r="PHC32" s="58"/>
      <c r="PHD32" s="58"/>
      <c r="PHE32" s="58"/>
      <c r="PHF32" s="58"/>
      <c r="PHG32" s="59"/>
      <c r="PHH32" s="60"/>
      <c r="PHI32" s="54"/>
      <c r="PHJ32" s="54"/>
      <c r="PHK32" s="36"/>
      <c r="PHL32" s="55"/>
      <c r="PHM32" s="54"/>
      <c r="PHN32" s="56"/>
      <c r="PHO32" s="57"/>
      <c r="PHP32" s="54"/>
      <c r="PHQ32" s="54"/>
      <c r="PHR32" s="54"/>
      <c r="PHS32" s="58"/>
      <c r="PHT32" s="58"/>
      <c r="PHU32" s="58"/>
      <c r="PHV32" s="58"/>
      <c r="PHW32" s="59"/>
      <c r="PHX32" s="60"/>
      <c r="PHY32" s="54"/>
      <c r="PHZ32" s="54"/>
      <c r="PIA32" s="36"/>
      <c r="PIB32" s="55"/>
      <c r="PIC32" s="54"/>
      <c r="PID32" s="56"/>
      <c r="PIE32" s="57"/>
      <c r="PIF32" s="54"/>
      <c r="PIG32" s="54"/>
      <c r="PIH32" s="54"/>
      <c r="PII32" s="58"/>
      <c r="PIJ32" s="58"/>
      <c r="PIK32" s="58"/>
      <c r="PIL32" s="58"/>
      <c r="PIM32" s="59"/>
      <c r="PIN32" s="60"/>
      <c r="PIO32" s="54"/>
      <c r="PIP32" s="54"/>
      <c r="PIQ32" s="36"/>
      <c r="PIR32" s="55"/>
      <c r="PIS32" s="54"/>
      <c r="PIT32" s="56"/>
      <c r="PIU32" s="57"/>
      <c r="PIV32" s="54"/>
      <c r="PIW32" s="54"/>
      <c r="PIX32" s="54"/>
      <c r="PIY32" s="58"/>
      <c r="PIZ32" s="58"/>
      <c r="PJA32" s="58"/>
      <c r="PJB32" s="58"/>
      <c r="PJC32" s="59"/>
      <c r="PJD32" s="60"/>
      <c r="PJE32" s="54"/>
      <c r="PJF32" s="54"/>
      <c r="PJG32" s="36"/>
      <c r="PJH32" s="55"/>
      <c r="PJI32" s="54"/>
      <c r="PJJ32" s="56"/>
      <c r="PJK32" s="57"/>
      <c r="PJL32" s="54"/>
      <c r="PJM32" s="54"/>
      <c r="PJN32" s="54"/>
      <c r="PJO32" s="58"/>
      <c r="PJP32" s="58"/>
      <c r="PJQ32" s="58"/>
      <c r="PJR32" s="58"/>
      <c r="PJS32" s="59"/>
      <c r="PJT32" s="60"/>
      <c r="PJU32" s="54"/>
      <c r="PJV32" s="54"/>
      <c r="PJW32" s="36"/>
      <c r="PJX32" s="55"/>
      <c r="PJY32" s="54"/>
      <c r="PJZ32" s="56"/>
      <c r="PKA32" s="57"/>
      <c r="PKB32" s="54"/>
      <c r="PKC32" s="54"/>
      <c r="PKD32" s="54"/>
      <c r="PKE32" s="58"/>
      <c r="PKF32" s="58"/>
      <c r="PKG32" s="58"/>
      <c r="PKH32" s="58"/>
      <c r="PKI32" s="59"/>
      <c r="PKJ32" s="60"/>
      <c r="PKK32" s="54"/>
      <c r="PKL32" s="54"/>
      <c r="PKM32" s="36"/>
      <c r="PKN32" s="55"/>
      <c r="PKO32" s="54"/>
      <c r="PKP32" s="56"/>
      <c r="PKQ32" s="57"/>
      <c r="PKR32" s="54"/>
      <c r="PKS32" s="54"/>
      <c r="PKT32" s="54"/>
      <c r="PKU32" s="58"/>
      <c r="PKV32" s="58"/>
      <c r="PKW32" s="58"/>
      <c r="PKX32" s="58"/>
      <c r="PKY32" s="59"/>
      <c r="PKZ32" s="60"/>
      <c r="PLA32" s="54"/>
      <c r="PLB32" s="54"/>
      <c r="PLC32" s="36"/>
      <c r="PLD32" s="55"/>
      <c r="PLE32" s="54"/>
      <c r="PLF32" s="56"/>
      <c r="PLG32" s="57"/>
      <c r="PLH32" s="54"/>
      <c r="PLI32" s="54"/>
      <c r="PLJ32" s="54"/>
      <c r="PLK32" s="58"/>
      <c r="PLL32" s="58"/>
      <c r="PLM32" s="58"/>
      <c r="PLN32" s="58"/>
      <c r="PLO32" s="59"/>
      <c r="PLP32" s="60"/>
      <c r="PLQ32" s="54"/>
      <c r="PLR32" s="54"/>
      <c r="PLS32" s="36"/>
      <c r="PLT32" s="55"/>
      <c r="PLU32" s="54"/>
      <c r="PLV32" s="56"/>
      <c r="PLW32" s="57"/>
      <c r="PLX32" s="54"/>
      <c r="PLY32" s="54"/>
      <c r="PLZ32" s="54"/>
      <c r="PMA32" s="58"/>
      <c r="PMB32" s="58"/>
      <c r="PMC32" s="58"/>
      <c r="PMD32" s="58"/>
      <c r="PME32" s="59"/>
      <c r="PMF32" s="60"/>
      <c r="PMG32" s="54"/>
      <c r="PMH32" s="54"/>
      <c r="PMI32" s="36"/>
      <c r="PMJ32" s="55"/>
      <c r="PMK32" s="54"/>
      <c r="PML32" s="56"/>
      <c r="PMM32" s="57"/>
      <c r="PMN32" s="54"/>
      <c r="PMO32" s="54"/>
      <c r="PMP32" s="54"/>
      <c r="PMQ32" s="58"/>
      <c r="PMR32" s="58"/>
      <c r="PMS32" s="58"/>
      <c r="PMT32" s="58"/>
      <c r="PMU32" s="59"/>
      <c r="PMV32" s="60"/>
      <c r="PMW32" s="54"/>
      <c r="PMX32" s="54"/>
      <c r="PMY32" s="36"/>
      <c r="PMZ32" s="55"/>
      <c r="PNA32" s="54"/>
      <c r="PNB32" s="56"/>
      <c r="PNC32" s="57"/>
      <c r="PND32" s="54"/>
      <c r="PNE32" s="54"/>
      <c r="PNF32" s="54"/>
      <c r="PNG32" s="58"/>
      <c r="PNH32" s="58"/>
      <c r="PNI32" s="58"/>
      <c r="PNJ32" s="58"/>
      <c r="PNK32" s="59"/>
      <c r="PNL32" s="60"/>
      <c r="PNM32" s="54"/>
      <c r="PNN32" s="54"/>
      <c r="PNO32" s="36"/>
      <c r="PNP32" s="55"/>
      <c r="PNQ32" s="54"/>
      <c r="PNR32" s="56"/>
      <c r="PNS32" s="57"/>
      <c r="PNT32" s="54"/>
      <c r="PNU32" s="54"/>
      <c r="PNV32" s="54"/>
      <c r="PNW32" s="58"/>
      <c r="PNX32" s="58"/>
      <c r="PNY32" s="58"/>
      <c r="PNZ32" s="58"/>
      <c r="POA32" s="59"/>
      <c r="POB32" s="60"/>
      <c r="POC32" s="54"/>
      <c r="POD32" s="54"/>
      <c r="POE32" s="36"/>
      <c r="POF32" s="55"/>
      <c r="POG32" s="54"/>
      <c r="POH32" s="56"/>
      <c r="POI32" s="57"/>
      <c r="POJ32" s="54"/>
      <c r="POK32" s="54"/>
      <c r="POL32" s="54"/>
      <c r="POM32" s="58"/>
      <c r="PON32" s="58"/>
      <c r="POO32" s="58"/>
      <c r="POP32" s="58"/>
      <c r="POQ32" s="59"/>
      <c r="POR32" s="60"/>
      <c r="POS32" s="54"/>
      <c r="POT32" s="54"/>
      <c r="POU32" s="36"/>
      <c r="POV32" s="55"/>
      <c r="POW32" s="54"/>
      <c r="POX32" s="56"/>
      <c r="POY32" s="57"/>
      <c r="POZ32" s="54"/>
      <c r="PPA32" s="54"/>
      <c r="PPB32" s="54"/>
      <c r="PPC32" s="58"/>
      <c r="PPD32" s="58"/>
      <c r="PPE32" s="58"/>
      <c r="PPF32" s="58"/>
      <c r="PPG32" s="59"/>
      <c r="PPH32" s="60"/>
      <c r="PPI32" s="54"/>
      <c r="PPJ32" s="54"/>
      <c r="PPK32" s="36"/>
      <c r="PPL32" s="55"/>
      <c r="PPM32" s="54"/>
      <c r="PPN32" s="56"/>
      <c r="PPO32" s="57"/>
      <c r="PPP32" s="54"/>
      <c r="PPQ32" s="54"/>
      <c r="PPR32" s="54"/>
      <c r="PPS32" s="58"/>
      <c r="PPT32" s="58"/>
      <c r="PPU32" s="58"/>
      <c r="PPV32" s="58"/>
      <c r="PPW32" s="59"/>
      <c r="PPX32" s="60"/>
      <c r="PPY32" s="54"/>
      <c r="PPZ32" s="54"/>
      <c r="PQA32" s="36"/>
      <c r="PQB32" s="55"/>
      <c r="PQC32" s="54"/>
      <c r="PQD32" s="56"/>
      <c r="PQE32" s="57"/>
      <c r="PQF32" s="54"/>
      <c r="PQG32" s="54"/>
      <c r="PQH32" s="54"/>
      <c r="PQI32" s="58"/>
      <c r="PQJ32" s="58"/>
      <c r="PQK32" s="58"/>
      <c r="PQL32" s="58"/>
      <c r="PQM32" s="59"/>
      <c r="PQN32" s="60"/>
      <c r="PQO32" s="54"/>
      <c r="PQP32" s="54"/>
      <c r="PQQ32" s="36"/>
      <c r="PQR32" s="55"/>
      <c r="PQS32" s="54"/>
      <c r="PQT32" s="56"/>
      <c r="PQU32" s="57"/>
      <c r="PQV32" s="54"/>
      <c r="PQW32" s="54"/>
      <c r="PQX32" s="54"/>
      <c r="PQY32" s="58"/>
      <c r="PQZ32" s="58"/>
      <c r="PRA32" s="58"/>
      <c r="PRB32" s="58"/>
      <c r="PRC32" s="59"/>
      <c r="PRD32" s="60"/>
      <c r="PRE32" s="54"/>
      <c r="PRF32" s="54"/>
      <c r="PRG32" s="36"/>
      <c r="PRH32" s="55"/>
      <c r="PRI32" s="54"/>
      <c r="PRJ32" s="56"/>
      <c r="PRK32" s="57"/>
      <c r="PRL32" s="54"/>
      <c r="PRM32" s="54"/>
      <c r="PRN32" s="54"/>
      <c r="PRO32" s="58"/>
      <c r="PRP32" s="58"/>
      <c r="PRQ32" s="58"/>
      <c r="PRR32" s="58"/>
      <c r="PRS32" s="59"/>
      <c r="PRT32" s="60"/>
      <c r="PRU32" s="54"/>
      <c r="PRV32" s="54"/>
      <c r="PRW32" s="36"/>
      <c r="PRX32" s="55"/>
      <c r="PRY32" s="54"/>
      <c r="PRZ32" s="56"/>
      <c r="PSA32" s="57"/>
      <c r="PSB32" s="54"/>
      <c r="PSC32" s="54"/>
      <c r="PSD32" s="54"/>
      <c r="PSE32" s="58"/>
      <c r="PSF32" s="58"/>
      <c r="PSG32" s="58"/>
      <c r="PSH32" s="58"/>
      <c r="PSI32" s="59"/>
      <c r="PSJ32" s="60"/>
      <c r="PSK32" s="54"/>
      <c r="PSL32" s="54"/>
      <c r="PSM32" s="36"/>
      <c r="PSN32" s="55"/>
      <c r="PSO32" s="54"/>
      <c r="PSP32" s="56"/>
      <c r="PSQ32" s="57"/>
      <c r="PSR32" s="54"/>
      <c r="PSS32" s="54"/>
      <c r="PST32" s="54"/>
      <c r="PSU32" s="58"/>
      <c r="PSV32" s="58"/>
      <c r="PSW32" s="58"/>
      <c r="PSX32" s="58"/>
      <c r="PSY32" s="59"/>
      <c r="PSZ32" s="60"/>
      <c r="PTA32" s="54"/>
      <c r="PTB32" s="54"/>
      <c r="PTC32" s="36"/>
      <c r="PTD32" s="55"/>
      <c r="PTE32" s="54"/>
      <c r="PTF32" s="56"/>
      <c r="PTG32" s="57"/>
      <c r="PTH32" s="54"/>
      <c r="PTI32" s="54"/>
      <c r="PTJ32" s="54"/>
      <c r="PTK32" s="58"/>
      <c r="PTL32" s="58"/>
      <c r="PTM32" s="58"/>
      <c r="PTN32" s="58"/>
      <c r="PTO32" s="59"/>
      <c r="PTP32" s="60"/>
      <c r="PTQ32" s="54"/>
      <c r="PTR32" s="54"/>
      <c r="PTS32" s="36"/>
      <c r="PTT32" s="55"/>
      <c r="PTU32" s="54"/>
      <c r="PTV32" s="56"/>
      <c r="PTW32" s="57"/>
      <c r="PTX32" s="54"/>
      <c r="PTY32" s="54"/>
      <c r="PTZ32" s="54"/>
      <c r="PUA32" s="58"/>
      <c r="PUB32" s="58"/>
      <c r="PUC32" s="58"/>
      <c r="PUD32" s="58"/>
      <c r="PUE32" s="59"/>
      <c r="PUF32" s="60"/>
      <c r="PUG32" s="54"/>
      <c r="PUH32" s="54"/>
      <c r="PUI32" s="36"/>
      <c r="PUJ32" s="55"/>
      <c r="PUK32" s="54"/>
      <c r="PUL32" s="56"/>
      <c r="PUM32" s="57"/>
      <c r="PUN32" s="54"/>
      <c r="PUO32" s="54"/>
      <c r="PUP32" s="54"/>
      <c r="PUQ32" s="58"/>
      <c r="PUR32" s="58"/>
      <c r="PUS32" s="58"/>
      <c r="PUT32" s="58"/>
      <c r="PUU32" s="59"/>
      <c r="PUV32" s="60"/>
      <c r="PUW32" s="54"/>
      <c r="PUX32" s="54"/>
      <c r="PUY32" s="36"/>
      <c r="PUZ32" s="55"/>
      <c r="PVA32" s="54"/>
      <c r="PVB32" s="56"/>
      <c r="PVC32" s="57"/>
      <c r="PVD32" s="54"/>
      <c r="PVE32" s="54"/>
      <c r="PVF32" s="54"/>
      <c r="PVG32" s="58"/>
      <c r="PVH32" s="58"/>
      <c r="PVI32" s="58"/>
      <c r="PVJ32" s="58"/>
      <c r="PVK32" s="59"/>
      <c r="PVL32" s="60"/>
      <c r="PVM32" s="54"/>
      <c r="PVN32" s="54"/>
      <c r="PVO32" s="36"/>
      <c r="PVP32" s="55"/>
      <c r="PVQ32" s="54"/>
      <c r="PVR32" s="56"/>
      <c r="PVS32" s="57"/>
      <c r="PVT32" s="54"/>
      <c r="PVU32" s="54"/>
      <c r="PVV32" s="54"/>
      <c r="PVW32" s="58"/>
      <c r="PVX32" s="58"/>
      <c r="PVY32" s="58"/>
      <c r="PVZ32" s="58"/>
      <c r="PWA32" s="59"/>
      <c r="PWB32" s="60"/>
      <c r="PWC32" s="54"/>
      <c r="PWD32" s="54"/>
      <c r="PWE32" s="36"/>
      <c r="PWF32" s="55"/>
      <c r="PWG32" s="54"/>
      <c r="PWH32" s="56"/>
      <c r="PWI32" s="57"/>
      <c r="PWJ32" s="54"/>
      <c r="PWK32" s="54"/>
      <c r="PWL32" s="54"/>
      <c r="PWM32" s="58"/>
      <c r="PWN32" s="58"/>
      <c r="PWO32" s="58"/>
      <c r="PWP32" s="58"/>
      <c r="PWQ32" s="59"/>
      <c r="PWR32" s="60"/>
      <c r="PWS32" s="54"/>
      <c r="PWT32" s="54"/>
      <c r="PWU32" s="36"/>
      <c r="PWV32" s="55"/>
      <c r="PWW32" s="54"/>
      <c r="PWX32" s="56"/>
      <c r="PWY32" s="57"/>
      <c r="PWZ32" s="54"/>
      <c r="PXA32" s="54"/>
      <c r="PXB32" s="54"/>
      <c r="PXC32" s="58"/>
      <c r="PXD32" s="58"/>
      <c r="PXE32" s="58"/>
      <c r="PXF32" s="58"/>
      <c r="PXG32" s="59"/>
      <c r="PXH32" s="60"/>
      <c r="PXI32" s="54"/>
      <c r="PXJ32" s="54"/>
      <c r="PXK32" s="36"/>
      <c r="PXL32" s="55"/>
      <c r="PXM32" s="54"/>
      <c r="PXN32" s="56"/>
      <c r="PXO32" s="57"/>
      <c r="PXP32" s="54"/>
      <c r="PXQ32" s="54"/>
      <c r="PXR32" s="54"/>
      <c r="PXS32" s="58"/>
      <c r="PXT32" s="58"/>
      <c r="PXU32" s="58"/>
      <c r="PXV32" s="58"/>
      <c r="PXW32" s="59"/>
      <c r="PXX32" s="60"/>
      <c r="PXY32" s="54"/>
      <c r="PXZ32" s="54"/>
      <c r="PYA32" s="36"/>
      <c r="PYB32" s="55"/>
      <c r="PYC32" s="54"/>
      <c r="PYD32" s="56"/>
      <c r="PYE32" s="57"/>
      <c r="PYF32" s="54"/>
      <c r="PYG32" s="54"/>
      <c r="PYH32" s="54"/>
      <c r="PYI32" s="58"/>
      <c r="PYJ32" s="58"/>
      <c r="PYK32" s="58"/>
      <c r="PYL32" s="58"/>
      <c r="PYM32" s="59"/>
      <c r="PYN32" s="60"/>
      <c r="PYO32" s="54"/>
      <c r="PYP32" s="54"/>
      <c r="PYQ32" s="36"/>
      <c r="PYR32" s="55"/>
      <c r="PYS32" s="54"/>
      <c r="PYT32" s="56"/>
      <c r="PYU32" s="57"/>
      <c r="PYV32" s="54"/>
      <c r="PYW32" s="54"/>
      <c r="PYX32" s="54"/>
      <c r="PYY32" s="58"/>
      <c r="PYZ32" s="58"/>
      <c r="PZA32" s="58"/>
      <c r="PZB32" s="58"/>
      <c r="PZC32" s="59"/>
      <c r="PZD32" s="60"/>
      <c r="PZE32" s="54"/>
      <c r="PZF32" s="54"/>
      <c r="PZG32" s="36"/>
      <c r="PZH32" s="55"/>
      <c r="PZI32" s="54"/>
      <c r="PZJ32" s="56"/>
      <c r="PZK32" s="57"/>
      <c r="PZL32" s="54"/>
      <c r="PZM32" s="54"/>
      <c r="PZN32" s="54"/>
      <c r="PZO32" s="58"/>
      <c r="PZP32" s="58"/>
      <c r="PZQ32" s="58"/>
      <c r="PZR32" s="58"/>
      <c r="PZS32" s="59"/>
      <c r="PZT32" s="60"/>
      <c r="PZU32" s="54"/>
      <c r="PZV32" s="54"/>
      <c r="PZW32" s="36"/>
      <c r="PZX32" s="55"/>
      <c r="PZY32" s="54"/>
      <c r="PZZ32" s="56"/>
      <c r="QAA32" s="57"/>
      <c r="QAB32" s="54"/>
      <c r="QAC32" s="54"/>
      <c r="QAD32" s="54"/>
      <c r="QAE32" s="58"/>
      <c r="QAF32" s="58"/>
      <c r="QAG32" s="58"/>
      <c r="QAH32" s="58"/>
      <c r="QAI32" s="59"/>
      <c r="QAJ32" s="60"/>
      <c r="QAK32" s="54"/>
      <c r="QAL32" s="54"/>
      <c r="QAM32" s="36"/>
      <c r="QAN32" s="55"/>
      <c r="QAO32" s="54"/>
      <c r="QAP32" s="56"/>
      <c r="QAQ32" s="57"/>
      <c r="QAR32" s="54"/>
      <c r="QAS32" s="54"/>
      <c r="QAT32" s="54"/>
      <c r="QAU32" s="58"/>
      <c r="QAV32" s="58"/>
      <c r="QAW32" s="58"/>
      <c r="QAX32" s="58"/>
      <c r="QAY32" s="59"/>
      <c r="QAZ32" s="60"/>
      <c r="QBA32" s="54"/>
      <c r="QBB32" s="54"/>
      <c r="QBC32" s="36"/>
      <c r="QBD32" s="55"/>
      <c r="QBE32" s="54"/>
      <c r="QBF32" s="56"/>
      <c r="QBG32" s="57"/>
      <c r="QBH32" s="54"/>
      <c r="QBI32" s="54"/>
      <c r="QBJ32" s="54"/>
      <c r="QBK32" s="58"/>
      <c r="QBL32" s="58"/>
      <c r="QBM32" s="58"/>
      <c r="QBN32" s="58"/>
      <c r="QBO32" s="59"/>
      <c r="QBP32" s="60"/>
      <c r="QBQ32" s="54"/>
      <c r="QBR32" s="54"/>
      <c r="QBS32" s="36"/>
      <c r="QBT32" s="55"/>
      <c r="QBU32" s="54"/>
      <c r="QBV32" s="56"/>
      <c r="QBW32" s="57"/>
      <c r="QBX32" s="54"/>
      <c r="QBY32" s="54"/>
      <c r="QBZ32" s="54"/>
      <c r="QCA32" s="58"/>
      <c r="QCB32" s="58"/>
      <c r="QCC32" s="58"/>
      <c r="QCD32" s="58"/>
      <c r="QCE32" s="59"/>
      <c r="QCF32" s="60"/>
      <c r="QCG32" s="54"/>
      <c r="QCH32" s="54"/>
      <c r="QCI32" s="36"/>
      <c r="QCJ32" s="55"/>
      <c r="QCK32" s="54"/>
      <c r="QCL32" s="56"/>
      <c r="QCM32" s="57"/>
      <c r="QCN32" s="54"/>
      <c r="QCO32" s="54"/>
      <c r="QCP32" s="54"/>
      <c r="QCQ32" s="58"/>
      <c r="QCR32" s="58"/>
      <c r="QCS32" s="58"/>
      <c r="QCT32" s="58"/>
      <c r="QCU32" s="59"/>
      <c r="QCV32" s="60"/>
      <c r="QCW32" s="54"/>
      <c r="QCX32" s="54"/>
      <c r="QCY32" s="36"/>
      <c r="QCZ32" s="55"/>
      <c r="QDA32" s="54"/>
      <c r="QDB32" s="56"/>
      <c r="QDC32" s="57"/>
      <c r="QDD32" s="54"/>
      <c r="QDE32" s="54"/>
      <c r="QDF32" s="54"/>
      <c r="QDG32" s="58"/>
      <c r="QDH32" s="58"/>
      <c r="QDI32" s="58"/>
      <c r="QDJ32" s="58"/>
      <c r="QDK32" s="59"/>
      <c r="QDL32" s="60"/>
      <c r="QDM32" s="54"/>
      <c r="QDN32" s="54"/>
      <c r="QDO32" s="36"/>
      <c r="QDP32" s="55"/>
      <c r="QDQ32" s="54"/>
      <c r="QDR32" s="56"/>
      <c r="QDS32" s="57"/>
      <c r="QDT32" s="54"/>
      <c r="QDU32" s="54"/>
      <c r="QDV32" s="54"/>
      <c r="QDW32" s="58"/>
      <c r="QDX32" s="58"/>
      <c r="QDY32" s="58"/>
      <c r="QDZ32" s="58"/>
      <c r="QEA32" s="59"/>
      <c r="QEB32" s="60"/>
      <c r="QEC32" s="54"/>
      <c r="QED32" s="54"/>
      <c r="QEE32" s="36"/>
      <c r="QEF32" s="55"/>
      <c r="QEG32" s="54"/>
      <c r="QEH32" s="56"/>
      <c r="QEI32" s="57"/>
      <c r="QEJ32" s="54"/>
      <c r="QEK32" s="54"/>
      <c r="QEL32" s="54"/>
      <c r="QEM32" s="58"/>
      <c r="QEN32" s="58"/>
      <c r="QEO32" s="58"/>
      <c r="QEP32" s="58"/>
      <c r="QEQ32" s="59"/>
      <c r="QER32" s="60"/>
      <c r="QES32" s="54"/>
      <c r="QET32" s="54"/>
      <c r="QEU32" s="36"/>
      <c r="QEV32" s="55"/>
      <c r="QEW32" s="54"/>
      <c r="QEX32" s="56"/>
      <c r="QEY32" s="57"/>
      <c r="QEZ32" s="54"/>
      <c r="QFA32" s="54"/>
      <c r="QFB32" s="54"/>
      <c r="QFC32" s="58"/>
      <c r="QFD32" s="58"/>
      <c r="QFE32" s="58"/>
      <c r="QFF32" s="58"/>
      <c r="QFG32" s="59"/>
      <c r="QFH32" s="60"/>
      <c r="QFI32" s="54"/>
      <c r="QFJ32" s="54"/>
      <c r="QFK32" s="36"/>
      <c r="QFL32" s="55"/>
      <c r="QFM32" s="54"/>
      <c r="QFN32" s="56"/>
      <c r="QFO32" s="57"/>
      <c r="QFP32" s="54"/>
      <c r="QFQ32" s="54"/>
      <c r="QFR32" s="54"/>
      <c r="QFS32" s="58"/>
      <c r="QFT32" s="58"/>
      <c r="QFU32" s="58"/>
      <c r="QFV32" s="58"/>
      <c r="QFW32" s="59"/>
      <c r="QFX32" s="60"/>
      <c r="QFY32" s="54"/>
      <c r="QFZ32" s="54"/>
      <c r="QGA32" s="36"/>
      <c r="QGB32" s="55"/>
      <c r="QGC32" s="54"/>
      <c r="QGD32" s="56"/>
      <c r="QGE32" s="57"/>
      <c r="QGF32" s="54"/>
      <c r="QGG32" s="54"/>
      <c r="QGH32" s="54"/>
      <c r="QGI32" s="58"/>
      <c r="QGJ32" s="58"/>
      <c r="QGK32" s="58"/>
      <c r="QGL32" s="58"/>
      <c r="QGM32" s="59"/>
      <c r="QGN32" s="60"/>
      <c r="QGO32" s="54"/>
      <c r="QGP32" s="54"/>
      <c r="QGQ32" s="36"/>
      <c r="QGR32" s="55"/>
      <c r="QGS32" s="54"/>
      <c r="QGT32" s="56"/>
      <c r="QGU32" s="57"/>
      <c r="QGV32" s="54"/>
      <c r="QGW32" s="54"/>
      <c r="QGX32" s="54"/>
      <c r="QGY32" s="58"/>
      <c r="QGZ32" s="58"/>
      <c r="QHA32" s="58"/>
      <c r="QHB32" s="58"/>
      <c r="QHC32" s="59"/>
      <c r="QHD32" s="60"/>
      <c r="QHE32" s="54"/>
      <c r="QHF32" s="54"/>
      <c r="QHG32" s="36"/>
      <c r="QHH32" s="55"/>
      <c r="QHI32" s="54"/>
      <c r="QHJ32" s="56"/>
      <c r="QHK32" s="57"/>
      <c r="QHL32" s="54"/>
      <c r="QHM32" s="54"/>
      <c r="QHN32" s="54"/>
      <c r="QHO32" s="58"/>
      <c r="QHP32" s="58"/>
      <c r="QHQ32" s="58"/>
      <c r="QHR32" s="58"/>
      <c r="QHS32" s="59"/>
      <c r="QHT32" s="60"/>
      <c r="QHU32" s="54"/>
      <c r="QHV32" s="54"/>
      <c r="QHW32" s="36"/>
      <c r="QHX32" s="55"/>
      <c r="QHY32" s="54"/>
      <c r="QHZ32" s="56"/>
      <c r="QIA32" s="57"/>
      <c r="QIB32" s="54"/>
      <c r="QIC32" s="54"/>
      <c r="QID32" s="54"/>
      <c r="QIE32" s="58"/>
      <c r="QIF32" s="58"/>
      <c r="QIG32" s="58"/>
      <c r="QIH32" s="58"/>
      <c r="QII32" s="59"/>
      <c r="QIJ32" s="60"/>
      <c r="QIK32" s="54"/>
      <c r="QIL32" s="54"/>
      <c r="QIM32" s="36"/>
      <c r="QIN32" s="55"/>
      <c r="QIO32" s="54"/>
      <c r="QIP32" s="56"/>
      <c r="QIQ32" s="57"/>
      <c r="QIR32" s="54"/>
      <c r="QIS32" s="54"/>
      <c r="QIT32" s="54"/>
      <c r="QIU32" s="58"/>
      <c r="QIV32" s="58"/>
      <c r="QIW32" s="58"/>
      <c r="QIX32" s="58"/>
      <c r="QIY32" s="59"/>
      <c r="QIZ32" s="60"/>
      <c r="QJA32" s="54"/>
      <c r="QJB32" s="54"/>
      <c r="QJC32" s="36"/>
      <c r="QJD32" s="55"/>
      <c r="QJE32" s="54"/>
      <c r="QJF32" s="56"/>
      <c r="QJG32" s="57"/>
      <c r="QJH32" s="54"/>
      <c r="QJI32" s="54"/>
      <c r="QJJ32" s="54"/>
      <c r="QJK32" s="58"/>
      <c r="QJL32" s="58"/>
      <c r="QJM32" s="58"/>
      <c r="QJN32" s="58"/>
      <c r="QJO32" s="59"/>
      <c r="QJP32" s="60"/>
      <c r="QJQ32" s="54"/>
      <c r="QJR32" s="54"/>
      <c r="QJS32" s="36"/>
      <c r="QJT32" s="55"/>
      <c r="QJU32" s="54"/>
      <c r="QJV32" s="56"/>
      <c r="QJW32" s="57"/>
      <c r="QJX32" s="54"/>
      <c r="QJY32" s="54"/>
      <c r="QJZ32" s="54"/>
      <c r="QKA32" s="58"/>
      <c r="QKB32" s="58"/>
      <c r="QKC32" s="58"/>
      <c r="QKD32" s="58"/>
      <c r="QKE32" s="59"/>
      <c r="QKF32" s="60"/>
      <c r="QKG32" s="54"/>
      <c r="QKH32" s="54"/>
      <c r="QKI32" s="36"/>
      <c r="QKJ32" s="55"/>
      <c r="QKK32" s="54"/>
      <c r="QKL32" s="56"/>
      <c r="QKM32" s="57"/>
      <c r="QKN32" s="54"/>
      <c r="QKO32" s="54"/>
      <c r="QKP32" s="54"/>
      <c r="QKQ32" s="58"/>
      <c r="QKR32" s="58"/>
      <c r="QKS32" s="58"/>
      <c r="QKT32" s="58"/>
      <c r="QKU32" s="59"/>
      <c r="QKV32" s="60"/>
      <c r="QKW32" s="54"/>
      <c r="QKX32" s="54"/>
      <c r="QKY32" s="36"/>
      <c r="QKZ32" s="55"/>
      <c r="QLA32" s="54"/>
      <c r="QLB32" s="56"/>
      <c r="QLC32" s="57"/>
      <c r="QLD32" s="54"/>
      <c r="QLE32" s="54"/>
      <c r="QLF32" s="54"/>
      <c r="QLG32" s="58"/>
      <c r="QLH32" s="58"/>
      <c r="QLI32" s="58"/>
      <c r="QLJ32" s="58"/>
      <c r="QLK32" s="59"/>
      <c r="QLL32" s="60"/>
      <c r="QLM32" s="54"/>
      <c r="QLN32" s="54"/>
      <c r="QLO32" s="36"/>
      <c r="QLP32" s="55"/>
      <c r="QLQ32" s="54"/>
      <c r="QLR32" s="56"/>
      <c r="QLS32" s="57"/>
      <c r="QLT32" s="54"/>
      <c r="QLU32" s="54"/>
      <c r="QLV32" s="54"/>
      <c r="QLW32" s="58"/>
      <c r="QLX32" s="58"/>
      <c r="QLY32" s="58"/>
      <c r="QLZ32" s="58"/>
      <c r="QMA32" s="59"/>
      <c r="QMB32" s="60"/>
      <c r="QMC32" s="54"/>
      <c r="QMD32" s="54"/>
      <c r="QME32" s="36"/>
      <c r="QMF32" s="55"/>
      <c r="QMG32" s="54"/>
      <c r="QMH32" s="56"/>
      <c r="QMI32" s="57"/>
      <c r="QMJ32" s="54"/>
      <c r="QMK32" s="54"/>
      <c r="QML32" s="54"/>
      <c r="QMM32" s="58"/>
      <c r="QMN32" s="58"/>
      <c r="QMO32" s="58"/>
      <c r="QMP32" s="58"/>
      <c r="QMQ32" s="59"/>
      <c r="QMR32" s="60"/>
      <c r="QMS32" s="54"/>
      <c r="QMT32" s="54"/>
      <c r="QMU32" s="36"/>
      <c r="QMV32" s="55"/>
      <c r="QMW32" s="54"/>
      <c r="QMX32" s="56"/>
      <c r="QMY32" s="57"/>
      <c r="QMZ32" s="54"/>
      <c r="QNA32" s="54"/>
      <c r="QNB32" s="54"/>
      <c r="QNC32" s="58"/>
      <c r="QND32" s="58"/>
      <c r="QNE32" s="58"/>
      <c r="QNF32" s="58"/>
      <c r="QNG32" s="59"/>
      <c r="QNH32" s="60"/>
      <c r="QNI32" s="54"/>
      <c r="QNJ32" s="54"/>
      <c r="QNK32" s="36"/>
      <c r="QNL32" s="55"/>
      <c r="QNM32" s="54"/>
      <c r="QNN32" s="56"/>
      <c r="QNO32" s="57"/>
      <c r="QNP32" s="54"/>
      <c r="QNQ32" s="54"/>
      <c r="QNR32" s="54"/>
      <c r="QNS32" s="58"/>
      <c r="QNT32" s="58"/>
      <c r="QNU32" s="58"/>
      <c r="QNV32" s="58"/>
      <c r="QNW32" s="59"/>
      <c r="QNX32" s="60"/>
      <c r="QNY32" s="54"/>
      <c r="QNZ32" s="54"/>
      <c r="QOA32" s="36"/>
      <c r="QOB32" s="55"/>
      <c r="QOC32" s="54"/>
      <c r="QOD32" s="56"/>
      <c r="QOE32" s="57"/>
      <c r="QOF32" s="54"/>
      <c r="QOG32" s="54"/>
      <c r="QOH32" s="54"/>
      <c r="QOI32" s="58"/>
      <c r="QOJ32" s="58"/>
      <c r="QOK32" s="58"/>
      <c r="QOL32" s="58"/>
      <c r="QOM32" s="59"/>
      <c r="QON32" s="60"/>
      <c r="QOO32" s="54"/>
      <c r="QOP32" s="54"/>
      <c r="QOQ32" s="36"/>
      <c r="QOR32" s="55"/>
      <c r="QOS32" s="54"/>
      <c r="QOT32" s="56"/>
      <c r="QOU32" s="57"/>
      <c r="QOV32" s="54"/>
      <c r="QOW32" s="54"/>
      <c r="QOX32" s="54"/>
      <c r="QOY32" s="58"/>
      <c r="QOZ32" s="58"/>
      <c r="QPA32" s="58"/>
      <c r="QPB32" s="58"/>
      <c r="QPC32" s="59"/>
      <c r="QPD32" s="60"/>
      <c r="QPE32" s="54"/>
      <c r="QPF32" s="54"/>
      <c r="QPG32" s="36"/>
      <c r="QPH32" s="55"/>
      <c r="QPI32" s="54"/>
      <c r="QPJ32" s="56"/>
      <c r="QPK32" s="57"/>
      <c r="QPL32" s="54"/>
      <c r="QPM32" s="54"/>
      <c r="QPN32" s="54"/>
      <c r="QPO32" s="58"/>
      <c r="QPP32" s="58"/>
      <c r="QPQ32" s="58"/>
      <c r="QPR32" s="58"/>
      <c r="QPS32" s="59"/>
      <c r="QPT32" s="60"/>
      <c r="QPU32" s="54"/>
      <c r="QPV32" s="54"/>
      <c r="QPW32" s="36"/>
      <c r="QPX32" s="55"/>
      <c r="QPY32" s="54"/>
      <c r="QPZ32" s="56"/>
      <c r="QQA32" s="57"/>
      <c r="QQB32" s="54"/>
      <c r="QQC32" s="54"/>
      <c r="QQD32" s="54"/>
      <c r="QQE32" s="58"/>
      <c r="QQF32" s="58"/>
      <c r="QQG32" s="58"/>
      <c r="QQH32" s="58"/>
      <c r="QQI32" s="59"/>
      <c r="QQJ32" s="60"/>
      <c r="QQK32" s="54"/>
      <c r="QQL32" s="54"/>
      <c r="QQM32" s="36"/>
      <c r="QQN32" s="55"/>
      <c r="QQO32" s="54"/>
      <c r="QQP32" s="56"/>
      <c r="QQQ32" s="57"/>
      <c r="QQR32" s="54"/>
      <c r="QQS32" s="54"/>
      <c r="QQT32" s="54"/>
      <c r="QQU32" s="58"/>
      <c r="QQV32" s="58"/>
      <c r="QQW32" s="58"/>
      <c r="QQX32" s="58"/>
      <c r="QQY32" s="59"/>
      <c r="QQZ32" s="60"/>
      <c r="QRA32" s="54"/>
      <c r="QRB32" s="54"/>
      <c r="QRC32" s="36"/>
      <c r="QRD32" s="55"/>
      <c r="QRE32" s="54"/>
      <c r="QRF32" s="56"/>
      <c r="QRG32" s="57"/>
      <c r="QRH32" s="54"/>
      <c r="QRI32" s="54"/>
      <c r="QRJ32" s="54"/>
      <c r="QRK32" s="58"/>
      <c r="QRL32" s="58"/>
      <c r="QRM32" s="58"/>
      <c r="QRN32" s="58"/>
      <c r="QRO32" s="59"/>
      <c r="QRP32" s="60"/>
      <c r="QRQ32" s="54"/>
      <c r="QRR32" s="54"/>
      <c r="QRS32" s="36"/>
      <c r="QRT32" s="55"/>
      <c r="QRU32" s="54"/>
      <c r="QRV32" s="56"/>
      <c r="QRW32" s="57"/>
      <c r="QRX32" s="54"/>
      <c r="QRY32" s="54"/>
      <c r="QRZ32" s="54"/>
      <c r="QSA32" s="58"/>
      <c r="QSB32" s="58"/>
      <c r="QSC32" s="58"/>
      <c r="QSD32" s="58"/>
      <c r="QSE32" s="59"/>
      <c r="QSF32" s="60"/>
      <c r="QSG32" s="54"/>
      <c r="QSH32" s="54"/>
      <c r="QSI32" s="36"/>
      <c r="QSJ32" s="55"/>
      <c r="QSK32" s="54"/>
      <c r="QSL32" s="56"/>
      <c r="QSM32" s="57"/>
      <c r="QSN32" s="54"/>
      <c r="QSO32" s="54"/>
      <c r="QSP32" s="54"/>
      <c r="QSQ32" s="58"/>
      <c r="QSR32" s="58"/>
      <c r="QSS32" s="58"/>
      <c r="QST32" s="58"/>
      <c r="QSU32" s="59"/>
      <c r="QSV32" s="60"/>
      <c r="QSW32" s="54"/>
      <c r="QSX32" s="54"/>
      <c r="QSY32" s="36"/>
      <c r="QSZ32" s="55"/>
      <c r="QTA32" s="54"/>
      <c r="QTB32" s="56"/>
      <c r="QTC32" s="57"/>
      <c r="QTD32" s="54"/>
      <c r="QTE32" s="54"/>
      <c r="QTF32" s="54"/>
      <c r="QTG32" s="58"/>
      <c r="QTH32" s="58"/>
      <c r="QTI32" s="58"/>
      <c r="QTJ32" s="58"/>
      <c r="QTK32" s="59"/>
      <c r="QTL32" s="60"/>
      <c r="QTM32" s="54"/>
      <c r="QTN32" s="54"/>
      <c r="QTO32" s="36"/>
      <c r="QTP32" s="55"/>
      <c r="QTQ32" s="54"/>
      <c r="QTR32" s="56"/>
      <c r="QTS32" s="57"/>
      <c r="QTT32" s="54"/>
      <c r="QTU32" s="54"/>
      <c r="QTV32" s="54"/>
      <c r="QTW32" s="58"/>
      <c r="QTX32" s="58"/>
      <c r="QTY32" s="58"/>
      <c r="QTZ32" s="58"/>
      <c r="QUA32" s="59"/>
      <c r="QUB32" s="60"/>
      <c r="QUC32" s="54"/>
      <c r="QUD32" s="54"/>
      <c r="QUE32" s="36"/>
      <c r="QUF32" s="55"/>
      <c r="QUG32" s="54"/>
      <c r="QUH32" s="56"/>
      <c r="QUI32" s="57"/>
      <c r="QUJ32" s="54"/>
      <c r="QUK32" s="54"/>
      <c r="QUL32" s="54"/>
      <c r="QUM32" s="58"/>
      <c r="QUN32" s="58"/>
      <c r="QUO32" s="58"/>
      <c r="QUP32" s="58"/>
      <c r="QUQ32" s="59"/>
      <c r="QUR32" s="60"/>
      <c r="QUS32" s="54"/>
      <c r="QUT32" s="54"/>
      <c r="QUU32" s="36"/>
      <c r="QUV32" s="55"/>
      <c r="QUW32" s="54"/>
      <c r="QUX32" s="56"/>
      <c r="QUY32" s="57"/>
      <c r="QUZ32" s="54"/>
      <c r="QVA32" s="54"/>
      <c r="QVB32" s="54"/>
      <c r="QVC32" s="58"/>
      <c r="QVD32" s="58"/>
      <c r="QVE32" s="58"/>
      <c r="QVF32" s="58"/>
      <c r="QVG32" s="59"/>
      <c r="QVH32" s="60"/>
      <c r="QVI32" s="54"/>
      <c r="QVJ32" s="54"/>
      <c r="QVK32" s="36"/>
      <c r="QVL32" s="55"/>
      <c r="QVM32" s="54"/>
      <c r="QVN32" s="56"/>
      <c r="QVO32" s="57"/>
      <c r="QVP32" s="54"/>
      <c r="QVQ32" s="54"/>
      <c r="QVR32" s="54"/>
      <c r="QVS32" s="58"/>
      <c r="QVT32" s="58"/>
      <c r="QVU32" s="58"/>
      <c r="QVV32" s="58"/>
      <c r="QVW32" s="59"/>
      <c r="QVX32" s="60"/>
      <c r="QVY32" s="54"/>
      <c r="QVZ32" s="54"/>
      <c r="QWA32" s="36"/>
      <c r="QWB32" s="55"/>
      <c r="QWC32" s="54"/>
      <c r="QWD32" s="56"/>
      <c r="QWE32" s="57"/>
      <c r="QWF32" s="54"/>
      <c r="QWG32" s="54"/>
      <c r="QWH32" s="54"/>
      <c r="QWI32" s="58"/>
      <c r="QWJ32" s="58"/>
      <c r="QWK32" s="58"/>
      <c r="QWL32" s="58"/>
      <c r="QWM32" s="59"/>
      <c r="QWN32" s="60"/>
      <c r="QWO32" s="54"/>
      <c r="QWP32" s="54"/>
      <c r="QWQ32" s="36"/>
      <c r="QWR32" s="55"/>
      <c r="QWS32" s="54"/>
      <c r="QWT32" s="56"/>
      <c r="QWU32" s="57"/>
      <c r="QWV32" s="54"/>
      <c r="QWW32" s="54"/>
      <c r="QWX32" s="54"/>
      <c r="QWY32" s="58"/>
      <c r="QWZ32" s="58"/>
      <c r="QXA32" s="58"/>
      <c r="QXB32" s="58"/>
      <c r="QXC32" s="59"/>
      <c r="QXD32" s="60"/>
      <c r="QXE32" s="54"/>
      <c r="QXF32" s="54"/>
      <c r="QXG32" s="36"/>
      <c r="QXH32" s="55"/>
      <c r="QXI32" s="54"/>
      <c r="QXJ32" s="56"/>
      <c r="QXK32" s="57"/>
      <c r="QXL32" s="54"/>
      <c r="QXM32" s="54"/>
      <c r="QXN32" s="54"/>
      <c r="QXO32" s="58"/>
      <c r="QXP32" s="58"/>
      <c r="QXQ32" s="58"/>
      <c r="QXR32" s="58"/>
      <c r="QXS32" s="59"/>
      <c r="QXT32" s="60"/>
      <c r="QXU32" s="54"/>
      <c r="QXV32" s="54"/>
      <c r="QXW32" s="36"/>
      <c r="QXX32" s="55"/>
      <c r="QXY32" s="54"/>
      <c r="QXZ32" s="56"/>
      <c r="QYA32" s="57"/>
      <c r="QYB32" s="54"/>
      <c r="QYC32" s="54"/>
      <c r="QYD32" s="54"/>
      <c r="QYE32" s="58"/>
      <c r="QYF32" s="58"/>
      <c r="QYG32" s="58"/>
      <c r="QYH32" s="58"/>
      <c r="QYI32" s="59"/>
      <c r="QYJ32" s="60"/>
      <c r="QYK32" s="54"/>
      <c r="QYL32" s="54"/>
      <c r="QYM32" s="36"/>
      <c r="QYN32" s="55"/>
      <c r="QYO32" s="54"/>
      <c r="QYP32" s="56"/>
      <c r="QYQ32" s="57"/>
      <c r="QYR32" s="54"/>
      <c r="QYS32" s="54"/>
      <c r="QYT32" s="54"/>
      <c r="QYU32" s="58"/>
      <c r="QYV32" s="58"/>
      <c r="QYW32" s="58"/>
      <c r="QYX32" s="58"/>
      <c r="QYY32" s="59"/>
      <c r="QYZ32" s="60"/>
      <c r="QZA32" s="54"/>
      <c r="QZB32" s="54"/>
      <c r="QZC32" s="36"/>
      <c r="QZD32" s="55"/>
      <c r="QZE32" s="54"/>
      <c r="QZF32" s="56"/>
      <c r="QZG32" s="57"/>
      <c r="QZH32" s="54"/>
      <c r="QZI32" s="54"/>
      <c r="QZJ32" s="54"/>
      <c r="QZK32" s="58"/>
      <c r="QZL32" s="58"/>
      <c r="QZM32" s="58"/>
      <c r="QZN32" s="58"/>
      <c r="QZO32" s="59"/>
      <c r="QZP32" s="60"/>
      <c r="QZQ32" s="54"/>
      <c r="QZR32" s="54"/>
      <c r="QZS32" s="36"/>
      <c r="QZT32" s="55"/>
      <c r="QZU32" s="54"/>
      <c r="QZV32" s="56"/>
      <c r="QZW32" s="57"/>
      <c r="QZX32" s="54"/>
      <c r="QZY32" s="54"/>
      <c r="QZZ32" s="54"/>
      <c r="RAA32" s="58"/>
      <c r="RAB32" s="58"/>
      <c r="RAC32" s="58"/>
      <c r="RAD32" s="58"/>
      <c r="RAE32" s="59"/>
      <c r="RAF32" s="60"/>
      <c r="RAG32" s="54"/>
      <c r="RAH32" s="54"/>
      <c r="RAI32" s="36"/>
      <c r="RAJ32" s="55"/>
      <c r="RAK32" s="54"/>
      <c r="RAL32" s="56"/>
      <c r="RAM32" s="57"/>
      <c r="RAN32" s="54"/>
      <c r="RAO32" s="54"/>
      <c r="RAP32" s="54"/>
      <c r="RAQ32" s="58"/>
      <c r="RAR32" s="58"/>
      <c r="RAS32" s="58"/>
      <c r="RAT32" s="58"/>
      <c r="RAU32" s="59"/>
      <c r="RAV32" s="60"/>
      <c r="RAW32" s="54"/>
      <c r="RAX32" s="54"/>
      <c r="RAY32" s="36"/>
      <c r="RAZ32" s="55"/>
      <c r="RBA32" s="54"/>
      <c r="RBB32" s="56"/>
      <c r="RBC32" s="57"/>
      <c r="RBD32" s="54"/>
      <c r="RBE32" s="54"/>
      <c r="RBF32" s="54"/>
      <c r="RBG32" s="58"/>
      <c r="RBH32" s="58"/>
      <c r="RBI32" s="58"/>
      <c r="RBJ32" s="58"/>
      <c r="RBK32" s="59"/>
      <c r="RBL32" s="60"/>
      <c r="RBM32" s="54"/>
      <c r="RBN32" s="54"/>
      <c r="RBO32" s="36"/>
      <c r="RBP32" s="55"/>
      <c r="RBQ32" s="54"/>
      <c r="RBR32" s="56"/>
      <c r="RBS32" s="57"/>
      <c r="RBT32" s="54"/>
      <c r="RBU32" s="54"/>
      <c r="RBV32" s="54"/>
      <c r="RBW32" s="58"/>
      <c r="RBX32" s="58"/>
      <c r="RBY32" s="58"/>
      <c r="RBZ32" s="58"/>
      <c r="RCA32" s="59"/>
      <c r="RCB32" s="60"/>
      <c r="RCC32" s="54"/>
      <c r="RCD32" s="54"/>
      <c r="RCE32" s="36"/>
      <c r="RCF32" s="55"/>
      <c r="RCG32" s="54"/>
      <c r="RCH32" s="56"/>
      <c r="RCI32" s="57"/>
      <c r="RCJ32" s="54"/>
      <c r="RCK32" s="54"/>
      <c r="RCL32" s="54"/>
      <c r="RCM32" s="58"/>
      <c r="RCN32" s="58"/>
      <c r="RCO32" s="58"/>
      <c r="RCP32" s="58"/>
      <c r="RCQ32" s="59"/>
      <c r="RCR32" s="60"/>
      <c r="RCS32" s="54"/>
      <c r="RCT32" s="54"/>
      <c r="RCU32" s="36"/>
      <c r="RCV32" s="55"/>
      <c r="RCW32" s="54"/>
      <c r="RCX32" s="56"/>
      <c r="RCY32" s="57"/>
      <c r="RCZ32" s="54"/>
      <c r="RDA32" s="54"/>
      <c r="RDB32" s="54"/>
      <c r="RDC32" s="58"/>
      <c r="RDD32" s="58"/>
      <c r="RDE32" s="58"/>
      <c r="RDF32" s="58"/>
      <c r="RDG32" s="59"/>
      <c r="RDH32" s="60"/>
      <c r="RDI32" s="54"/>
      <c r="RDJ32" s="54"/>
      <c r="RDK32" s="36"/>
      <c r="RDL32" s="55"/>
      <c r="RDM32" s="54"/>
      <c r="RDN32" s="56"/>
      <c r="RDO32" s="57"/>
      <c r="RDP32" s="54"/>
      <c r="RDQ32" s="54"/>
      <c r="RDR32" s="54"/>
      <c r="RDS32" s="58"/>
      <c r="RDT32" s="58"/>
      <c r="RDU32" s="58"/>
      <c r="RDV32" s="58"/>
      <c r="RDW32" s="59"/>
      <c r="RDX32" s="60"/>
      <c r="RDY32" s="54"/>
      <c r="RDZ32" s="54"/>
      <c r="REA32" s="36"/>
      <c r="REB32" s="55"/>
      <c r="REC32" s="54"/>
      <c r="RED32" s="56"/>
      <c r="REE32" s="57"/>
      <c r="REF32" s="54"/>
      <c r="REG32" s="54"/>
      <c r="REH32" s="54"/>
      <c r="REI32" s="58"/>
      <c r="REJ32" s="58"/>
      <c r="REK32" s="58"/>
      <c r="REL32" s="58"/>
      <c r="REM32" s="59"/>
      <c r="REN32" s="60"/>
      <c r="REO32" s="54"/>
      <c r="REP32" s="54"/>
      <c r="REQ32" s="36"/>
      <c r="RER32" s="55"/>
      <c r="RES32" s="54"/>
      <c r="RET32" s="56"/>
      <c r="REU32" s="57"/>
      <c r="REV32" s="54"/>
      <c r="REW32" s="54"/>
      <c r="REX32" s="54"/>
      <c r="REY32" s="58"/>
      <c r="REZ32" s="58"/>
      <c r="RFA32" s="58"/>
      <c r="RFB32" s="58"/>
      <c r="RFC32" s="59"/>
      <c r="RFD32" s="60"/>
      <c r="RFE32" s="54"/>
      <c r="RFF32" s="54"/>
      <c r="RFG32" s="36"/>
      <c r="RFH32" s="55"/>
      <c r="RFI32" s="54"/>
      <c r="RFJ32" s="56"/>
      <c r="RFK32" s="57"/>
      <c r="RFL32" s="54"/>
      <c r="RFM32" s="54"/>
      <c r="RFN32" s="54"/>
      <c r="RFO32" s="58"/>
      <c r="RFP32" s="58"/>
      <c r="RFQ32" s="58"/>
      <c r="RFR32" s="58"/>
      <c r="RFS32" s="59"/>
      <c r="RFT32" s="60"/>
      <c r="RFU32" s="54"/>
      <c r="RFV32" s="54"/>
      <c r="RFW32" s="36"/>
      <c r="RFX32" s="55"/>
      <c r="RFY32" s="54"/>
      <c r="RFZ32" s="56"/>
      <c r="RGA32" s="57"/>
      <c r="RGB32" s="54"/>
      <c r="RGC32" s="54"/>
      <c r="RGD32" s="54"/>
      <c r="RGE32" s="58"/>
      <c r="RGF32" s="58"/>
      <c r="RGG32" s="58"/>
      <c r="RGH32" s="58"/>
      <c r="RGI32" s="59"/>
      <c r="RGJ32" s="60"/>
      <c r="RGK32" s="54"/>
      <c r="RGL32" s="54"/>
      <c r="RGM32" s="36"/>
      <c r="RGN32" s="55"/>
      <c r="RGO32" s="54"/>
      <c r="RGP32" s="56"/>
      <c r="RGQ32" s="57"/>
      <c r="RGR32" s="54"/>
      <c r="RGS32" s="54"/>
      <c r="RGT32" s="54"/>
      <c r="RGU32" s="58"/>
      <c r="RGV32" s="58"/>
      <c r="RGW32" s="58"/>
      <c r="RGX32" s="58"/>
      <c r="RGY32" s="59"/>
      <c r="RGZ32" s="60"/>
      <c r="RHA32" s="54"/>
      <c r="RHB32" s="54"/>
      <c r="RHC32" s="36"/>
      <c r="RHD32" s="55"/>
      <c r="RHE32" s="54"/>
      <c r="RHF32" s="56"/>
      <c r="RHG32" s="57"/>
      <c r="RHH32" s="54"/>
      <c r="RHI32" s="54"/>
      <c r="RHJ32" s="54"/>
      <c r="RHK32" s="58"/>
      <c r="RHL32" s="58"/>
      <c r="RHM32" s="58"/>
      <c r="RHN32" s="58"/>
      <c r="RHO32" s="59"/>
      <c r="RHP32" s="60"/>
      <c r="RHQ32" s="54"/>
      <c r="RHR32" s="54"/>
      <c r="RHS32" s="36"/>
      <c r="RHT32" s="55"/>
      <c r="RHU32" s="54"/>
      <c r="RHV32" s="56"/>
      <c r="RHW32" s="57"/>
      <c r="RHX32" s="54"/>
      <c r="RHY32" s="54"/>
      <c r="RHZ32" s="54"/>
      <c r="RIA32" s="58"/>
      <c r="RIB32" s="58"/>
      <c r="RIC32" s="58"/>
      <c r="RID32" s="58"/>
      <c r="RIE32" s="59"/>
      <c r="RIF32" s="60"/>
      <c r="RIG32" s="54"/>
      <c r="RIH32" s="54"/>
      <c r="RII32" s="36"/>
      <c r="RIJ32" s="55"/>
      <c r="RIK32" s="54"/>
      <c r="RIL32" s="56"/>
      <c r="RIM32" s="57"/>
      <c r="RIN32" s="54"/>
      <c r="RIO32" s="54"/>
      <c r="RIP32" s="54"/>
      <c r="RIQ32" s="58"/>
      <c r="RIR32" s="58"/>
      <c r="RIS32" s="58"/>
      <c r="RIT32" s="58"/>
      <c r="RIU32" s="59"/>
      <c r="RIV32" s="60"/>
      <c r="RIW32" s="54"/>
      <c r="RIX32" s="54"/>
      <c r="RIY32" s="36"/>
      <c r="RIZ32" s="55"/>
      <c r="RJA32" s="54"/>
      <c r="RJB32" s="56"/>
      <c r="RJC32" s="57"/>
      <c r="RJD32" s="54"/>
      <c r="RJE32" s="54"/>
      <c r="RJF32" s="54"/>
      <c r="RJG32" s="58"/>
      <c r="RJH32" s="58"/>
      <c r="RJI32" s="58"/>
      <c r="RJJ32" s="58"/>
      <c r="RJK32" s="59"/>
      <c r="RJL32" s="60"/>
      <c r="RJM32" s="54"/>
      <c r="RJN32" s="54"/>
      <c r="RJO32" s="36"/>
      <c r="RJP32" s="55"/>
      <c r="RJQ32" s="54"/>
      <c r="RJR32" s="56"/>
      <c r="RJS32" s="57"/>
      <c r="RJT32" s="54"/>
      <c r="RJU32" s="54"/>
      <c r="RJV32" s="54"/>
      <c r="RJW32" s="58"/>
      <c r="RJX32" s="58"/>
      <c r="RJY32" s="58"/>
      <c r="RJZ32" s="58"/>
      <c r="RKA32" s="59"/>
      <c r="RKB32" s="60"/>
      <c r="RKC32" s="54"/>
      <c r="RKD32" s="54"/>
      <c r="RKE32" s="36"/>
      <c r="RKF32" s="55"/>
      <c r="RKG32" s="54"/>
      <c r="RKH32" s="56"/>
      <c r="RKI32" s="57"/>
      <c r="RKJ32" s="54"/>
      <c r="RKK32" s="54"/>
      <c r="RKL32" s="54"/>
      <c r="RKM32" s="58"/>
      <c r="RKN32" s="58"/>
      <c r="RKO32" s="58"/>
      <c r="RKP32" s="58"/>
      <c r="RKQ32" s="59"/>
      <c r="RKR32" s="60"/>
      <c r="RKS32" s="54"/>
      <c r="RKT32" s="54"/>
      <c r="RKU32" s="36"/>
      <c r="RKV32" s="55"/>
      <c r="RKW32" s="54"/>
      <c r="RKX32" s="56"/>
      <c r="RKY32" s="57"/>
      <c r="RKZ32" s="54"/>
      <c r="RLA32" s="54"/>
      <c r="RLB32" s="54"/>
      <c r="RLC32" s="58"/>
      <c r="RLD32" s="58"/>
      <c r="RLE32" s="58"/>
      <c r="RLF32" s="58"/>
      <c r="RLG32" s="59"/>
      <c r="RLH32" s="60"/>
      <c r="RLI32" s="54"/>
      <c r="RLJ32" s="54"/>
      <c r="RLK32" s="36"/>
      <c r="RLL32" s="55"/>
      <c r="RLM32" s="54"/>
      <c r="RLN32" s="56"/>
      <c r="RLO32" s="57"/>
      <c r="RLP32" s="54"/>
      <c r="RLQ32" s="54"/>
      <c r="RLR32" s="54"/>
      <c r="RLS32" s="58"/>
      <c r="RLT32" s="58"/>
      <c r="RLU32" s="58"/>
      <c r="RLV32" s="58"/>
      <c r="RLW32" s="59"/>
      <c r="RLX32" s="60"/>
      <c r="RLY32" s="54"/>
      <c r="RLZ32" s="54"/>
      <c r="RMA32" s="36"/>
      <c r="RMB32" s="55"/>
      <c r="RMC32" s="54"/>
      <c r="RMD32" s="56"/>
      <c r="RME32" s="57"/>
      <c r="RMF32" s="54"/>
      <c r="RMG32" s="54"/>
      <c r="RMH32" s="54"/>
      <c r="RMI32" s="58"/>
      <c r="RMJ32" s="58"/>
      <c r="RMK32" s="58"/>
      <c r="RML32" s="58"/>
      <c r="RMM32" s="59"/>
      <c r="RMN32" s="60"/>
      <c r="RMO32" s="54"/>
      <c r="RMP32" s="54"/>
      <c r="RMQ32" s="36"/>
      <c r="RMR32" s="55"/>
      <c r="RMS32" s="54"/>
      <c r="RMT32" s="56"/>
      <c r="RMU32" s="57"/>
      <c r="RMV32" s="54"/>
      <c r="RMW32" s="54"/>
      <c r="RMX32" s="54"/>
      <c r="RMY32" s="58"/>
      <c r="RMZ32" s="58"/>
      <c r="RNA32" s="58"/>
      <c r="RNB32" s="58"/>
      <c r="RNC32" s="59"/>
      <c r="RND32" s="60"/>
      <c r="RNE32" s="54"/>
      <c r="RNF32" s="54"/>
      <c r="RNG32" s="36"/>
      <c r="RNH32" s="55"/>
      <c r="RNI32" s="54"/>
      <c r="RNJ32" s="56"/>
      <c r="RNK32" s="57"/>
      <c r="RNL32" s="54"/>
      <c r="RNM32" s="54"/>
      <c r="RNN32" s="54"/>
      <c r="RNO32" s="58"/>
      <c r="RNP32" s="58"/>
      <c r="RNQ32" s="58"/>
      <c r="RNR32" s="58"/>
      <c r="RNS32" s="59"/>
      <c r="RNT32" s="60"/>
      <c r="RNU32" s="54"/>
      <c r="RNV32" s="54"/>
      <c r="RNW32" s="36"/>
      <c r="RNX32" s="55"/>
      <c r="RNY32" s="54"/>
      <c r="RNZ32" s="56"/>
      <c r="ROA32" s="57"/>
      <c r="ROB32" s="54"/>
      <c r="ROC32" s="54"/>
      <c r="ROD32" s="54"/>
      <c r="ROE32" s="58"/>
      <c r="ROF32" s="58"/>
      <c r="ROG32" s="58"/>
      <c r="ROH32" s="58"/>
      <c r="ROI32" s="59"/>
      <c r="ROJ32" s="60"/>
      <c r="ROK32" s="54"/>
      <c r="ROL32" s="54"/>
      <c r="ROM32" s="36"/>
      <c r="RON32" s="55"/>
      <c r="ROO32" s="54"/>
      <c r="ROP32" s="56"/>
      <c r="ROQ32" s="57"/>
      <c r="ROR32" s="54"/>
      <c r="ROS32" s="54"/>
      <c r="ROT32" s="54"/>
      <c r="ROU32" s="58"/>
      <c r="ROV32" s="58"/>
      <c r="ROW32" s="58"/>
      <c r="ROX32" s="58"/>
      <c r="ROY32" s="59"/>
      <c r="ROZ32" s="60"/>
      <c r="RPA32" s="54"/>
      <c r="RPB32" s="54"/>
      <c r="RPC32" s="36"/>
      <c r="RPD32" s="55"/>
      <c r="RPE32" s="54"/>
      <c r="RPF32" s="56"/>
      <c r="RPG32" s="57"/>
      <c r="RPH32" s="54"/>
      <c r="RPI32" s="54"/>
      <c r="RPJ32" s="54"/>
      <c r="RPK32" s="58"/>
      <c r="RPL32" s="58"/>
      <c r="RPM32" s="58"/>
      <c r="RPN32" s="58"/>
      <c r="RPO32" s="59"/>
      <c r="RPP32" s="60"/>
      <c r="RPQ32" s="54"/>
      <c r="RPR32" s="54"/>
      <c r="RPS32" s="36"/>
      <c r="RPT32" s="55"/>
      <c r="RPU32" s="54"/>
      <c r="RPV32" s="56"/>
      <c r="RPW32" s="57"/>
      <c r="RPX32" s="54"/>
      <c r="RPY32" s="54"/>
      <c r="RPZ32" s="54"/>
      <c r="RQA32" s="58"/>
      <c r="RQB32" s="58"/>
      <c r="RQC32" s="58"/>
      <c r="RQD32" s="58"/>
      <c r="RQE32" s="59"/>
      <c r="RQF32" s="60"/>
      <c r="RQG32" s="54"/>
      <c r="RQH32" s="54"/>
      <c r="RQI32" s="36"/>
      <c r="RQJ32" s="55"/>
      <c r="RQK32" s="54"/>
      <c r="RQL32" s="56"/>
      <c r="RQM32" s="57"/>
      <c r="RQN32" s="54"/>
      <c r="RQO32" s="54"/>
      <c r="RQP32" s="54"/>
      <c r="RQQ32" s="58"/>
      <c r="RQR32" s="58"/>
      <c r="RQS32" s="58"/>
      <c r="RQT32" s="58"/>
      <c r="RQU32" s="59"/>
      <c r="RQV32" s="60"/>
      <c r="RQW32" s="54"/>
      <c r="RQX32" s="54"/>
      <c r="RQY32" s="36"/>
      <c r="RQZ32" s="55"/>
      <c r="RRA32" s="54"/>
      <c r="RRB32" s="56"/>
      <c r="RRC32" s="57"/>
      <c r="RRD32" s="54"/>
      <c r="RRE32" s="54"/>
      <c r="RRF32" s="54"/>
      <c r="RRG32" s="58"/>
      <c r="RRH32" s="58"/>
      <c r="RRI32" s="58"/>
      <c r="RRJ32" s="58"/>
      <c r="RRK32" s="59"/>
      <c r="RRL32" s="60"/>
      <c r="RRM32" s="54"/>
      <c r="RRN32" s="54"/>
      <c r="RRO32" s="36"/>
      <c r="RRP32" s="55"/>
      <c r="RRQ32" s="54"/>
      <c r="RRR32" s="56"/>
      <c r="RRS32" s="57"/>
      <c r="RRT32" s="54"/>
      <c r="RRU32" s="54"/>
      <c r="RRV32" s="54"/>
      <c r="RRW32" s="58"/>
      <c r="RRX32" s="58"/>
      <c r="RRY32" s="58"/>
      <c r="RRZ32" s="58"/>
      <c r="RSA32" s="59"/>
      <c r="RSB32" s="60"/>
      <c r="RSC32" s="54"/>
      <c r="RSD32" s="54"/>
      <c r="RSE32" s="36"/>
      <c r="RSF32" s="55"/>
      <c r="RSG32" s="54"/>
      <c r="RSH32" s="56"/>
      <c r="RSI32" s="57"/>
      <c r="RSJ32" s="54"/>
      <c r="RSK32" s="54"/>
      <c r="RSL32" s="54"/>
      <c r="RSM32" s="58"/>
      <c r="RSN32" s="58"/>
      <c r="RSO32" s="58"/>
      <c r="RSP32" s="58"/>
      <c r="RSQ32" s="59"/>
      <c r="RSR32" s="60"/>
      <c r="RSS32" s="54"/>
      <c r="RST32" s="54"/>
      <c r="RSU32" s="36"/>
      <c r="RSV32" s="55"/>
      <c r="RSW32" s="54"/>
      <c r="RSX32" s="56"/>
      <c r="RSY32" s="57"/>
      <c r="RSZ32" s="54"/>
      <c r="RTA32" s="54"/>
      <c r="RTB32" s="54"/>
      <c r="RTC32" s="58"/>
      <c r="RTD32" s="58"/>
      <c r="RTE32" s="58"/>
      <c r="RTF32" s="58"/>
      <c r="RTG32" s="59"/>
      <c r="RTH32" s="60"/>
      <c r="RTI32" s="54"/>
      <c r="RTJ32" s="54"/>
      <c r="RTK32" s="36"/>
      <c r="RTL32" s="55"/>
      <c r="RTM32" s="54"/>
      <c r="RTN32" s="56"/>
      <c r="RTO32" s="57"/>
      <c r="RTP32" s="54"/>
      <c r="RTQ32" s="54"/>
      <c r="RTR32" s="54"/>
      <c r="RTS32" s="58"/>
      <c r="RTT32" s="58"/>
      <c r="RTU32" s="58"/>
      <c r="RTV32" s="58"/>
      <c r="RTW32" s="59"/>
      <c r="RTX32" s="60"/>
      <c r="RTY32" s="54"/>
      <c r="RTZ32" s="54"/>
      <c r="RUA32" s="36"/>
      <c r="RUB32" s="55"/>
      <c r="RUC32" s="54"/>
      <c r="RUD32" s="56"/>
      <c r="RUE32" s="57"/>
      <c r="RUF32" s="54"/>
      <c r="RUG32" s="54"/>
      <c r="RUH32" s="54"/>
      <c r="RUI32" s="58"/>
      <c r="RUJ32" s="58"/>
      <c r="RUK32" s="58"/>
      <c r="RUL32" s="58"/>
      <c r="RUM32" s="59"/>
      <c r="RUN32" s="60"/>
      <c r="RUO32" s="54"/>
      <c r="RUP32" s="54"/>
      <c r="RUQ32" s="36"/>
      <c r="RUR32" s="55"/>
      <c r="RUS32" s="54"/>
      <c r="RUT32" s="56"/>
      <c r="RUU32" s="57"/>
      <c r="RUV32" s="54"/>
      <c r="RUW32" s="54"/>
      <c r="RUX32" s="54"/>
      <c r="RUY32" s="58"/>
      <c r="RUZ32" s="58"/>
      <c r="RVA32" s="58"/>
      <c r="RVB32" s="58"/>
      <c r="RVC32" s="59"/>
      <c r="RVD32" s="60"/>
      <c r="RVE32" s="54"/>
      <c r="RVF32" s="54"/>
      <c r="RVG32" s="36"/>
      <c r="RVH32" s="55"/>
      <c r="RVI32" s="54"/>
      <c r="RVJ32" s="56"/>
      <c r="RVK32" s="57"/>
      <c r="RVL32" s="54"/>
      <c r="RVM32" s="54"/>
      <c r="RVN32" s="54"/>
      <c r="RVO32" s="58"/>
      <c r="RVP32" s="58"/>
      <c r="RVQ32" s="58"/>
      <c r="RVR32" s="58"/>
      <c r="RVS32" s="59"/>
      <c r="RVT32" s="60"/>
      <c r="RVU32" s="54"/>
      <c r="RVV32" s="54"/>
      <c r="RVW32" s="36"/>
      <c r="RVX32" s="55"/>
      <c r="RVY32" s="54"/>
      <c r="RVZ32" s="56"/>
      <c r="RWA32" s="57"/>
      <c r="RWB32" s="54"/>
      <c r="RWC32" s="54"/>
      <c r="RWD32" s="54"/>
      <c r="RWE32" s="58"/>
      <c r="RWF32" s="58"/>
      <c r="RWG32" s="58"/>
      <c r="RWH32" s="58"/>
      <c r="RWI32" s="59"/>
      <c r="RWJ32" s="60"/>
      <c r="RWK32" s="54"/>
      <c r="RWL32" s="54"/>
      <c r="RWM32" s="36"/>
      <c r="RWN32" s="55"/>
      <c r="RWO32" s="54"/>
      <c r="RWP32" s="56"/>
      <c r="RWQ32" s="57"/>
      <c r="RWR32" s="54"/>
      <c r="RWS32" s="54"/>
      <c r="RWT32" s="54"/>
      <c r="RWU32" s="58"/>
      <c r="RWV32" s="58"/>
      <c r="RWW32" s="58"/>
      <c r="RWX32" s="58"/>
      <c r="RWY32" s="59"/>
      <c r="RWZ32" s="60"/>
      <c r="RXA32" s="54"/>
      <c r="RXB32" s="54"/>
      <c r="RXC32" s="36"/>
      <c r="RXD32" s="55"/>
      <c r="RXE32" s="54"/>
      <c r="RXF32" s="56"/>
      <c r="RXG32" s="57"/>
      <c r="RXH32" s="54"/>
      <c r="RXI32" s="54"/>
      <c r="RXJ32" s="54"/>
      <c r="RXK32" s="58"/>
      <c r="RXL32" s="58"/>
      <c r="RXM32" s="58"/>
      <c r="RXN32" s="58"/>
      <c r="RXO32" s="59"/>
      <c r="RXP32" s="60"/>
      <c r="RXQ32" s="54"/>
      <c r="RXR32" s="54"/>
      <c r="RXS32" s="36"/>
      <c r="RXT32" s="55"/>
      <c r="RXU32" s="54"/>
      <c r="RXV32" s="56"/>
      <c r="RXW32" s="57"/>
      <c r="RXX32" s="54"/>
      <c r="RXY32" s="54"/>
      <c r="RXZ32" s="54"/>
      <c r="RYA32" s="58"/>
      <c r="RYB32" s="58"/>
      <c r="RYC32" s="58"/>
      <c r="RYD32" s="58"/>
      <c r="RYE32" s="59"/>
      <c r="RYF32" s="60"/>
      <c r="RYG32" s="54"/>
      <c r="RYH32" s="54"/>
      <c r="RYI32" s="36"/>
      <c r="RYJ32" s="55"/>
      <c r="RYK32" s="54"/>
      <c r="RYL32" s="56"/>
      <c r="RYM32" s="57"/>
      <c r="RYN32" s="54"/>
      <c r="RYO32" s="54"/>
      <c r="RYP32" s="54"/>
      <c r="RYQ32" s="58"/>
      <c r="RYR32" s="58"/>
      <c r="RYS32" s="58"/>
      <c r="RYT32" s="58"/>
      <c r="RYU32" s="59"/>
      <c r="RYV32" s="60"/>
      <c r="RYW32" s="54"/>
      <c r="RYX32" s="54"/>
      <c r="RYY32" s="36"/>
      <c r="RYZ32" s="55"/>
      <c r="RZA32" s="54"/>
      <c r="RZB32" s="56"/>
      <c r="RZC32" s="57"/>
      <c r="RZD32" s="54"/>
      <c r="RZE32" s="54"/>
      <c r="RZF32" s="54"/>
      <c r="RZG32" s="58"/>
      <c r="RZH32" s="58"/>
      <c r="RZI32" s="58"/>
      <c r="RZJ32" s="58"/>
      <c r="RZK32" s="59"/>
      <c r="RZL32" s="60"/>
      <c r="RZM32" s="54"/>
      <c r="RZN32" s="54"/>
      <c r="RZO32" s="36"/>
      <c r="RZP32" s="55"/>
      <c r="RZQ32" s="54"/>
      <c r="RZR32" s="56"/>
      <c r="RZS32" s="57"/>
      <c r="RZT32" s="54"/>
      <c r="RZU32" s="54"/>
      <c r="RZV32" s="54"/>
      <c r="RZW32" s="58"/>
      <c r="RZX32" s="58"/>
      <c r="RZY32" s="58"/>
      <c r="RZZ32" s="58"/>
      <c r="SAA32" s="59"/>
      <c r="SAB32" s="60"/>
      <c r="SAC32" s="54"/>
      <c r="SAD32" s="54"/>
      <c r="SAE32" s="36"/>
      <c r="SAF32" s="55"/>
      <c r="SAG32" s="54"/>
      <c r="SAH32" s="56"/>
      <c r="SAI32" s="57"/>
      <c r="SAJ32" s="54"/>
      <c r="SAK32" s="54"/>
      <c r="SAL32" s="54"/>
      <c r="SAM32" s="58"/>
      <c r="SAN32" s="58"/>
      <c r="SAO32" s="58"/>
      <c r="SAP32" s="58"/>
      <c r="SAQ32" s="59"/>
      <c r="SAR32" s="60"/>
      <c r="SAS32" s="54"/>
      <c r="SAT32" s="54"/>
      <c r="SAU32" s="36"/>
      <c r="SAV32" s="55"/>
      <c r="SAW32" s="54"/>
      <c r="SAX32" s="56"/>
      <c r="SAY32" s="57"/>
      <c r="SAZ32" s="54"/>
      <c r="SBA32" s="54"/>
      <c r="SBB32" s="54"/>
      <c r="SBC32" s="58"/>
      <c r="SBD32" s="58"/>
      <c r="SBE32" s="58"/>
      <c r="SBF32" s="58"/>
      <c r="SBG32" s="59"/>
      <c r="SBH32" s="60"/>
      <c r="SBI32" s="54"/>
      <c r="SBJ32" s="54"/>
      <c r="SBK32" s="36"/>
      <c r="SBL32" s="55"/>
      <c r="SBM32" s="54"/>
      <c r="SBN32" s="56"/>
      <c r="SBO32" s="57"/>
      <c r="SBP32" s="54"/>
      <c r="SBQ32" s="54"/>
      <c r="SBR32" s="54"/>
      <c r="SBS32" s="58"/>
      <c r="SBT32" s="58"/>
      <c r="SBU32" s="58"/>
      <c r="SBV32" s="58"/>
      <c r="SBW32" s="59"/>
      <c r="SBX32" s="60"/>
      <c r="SBY32" s="54"/>
      <c r="SBZ32" s="54"/>
      <c r="SCA32" s="36"/>
      <c r="SCB32" s="55"/>
      <c r="SCC32" s="54"/>
      <c r="SCD32" s="56"/>
      <c r="SCE32" s="57"/>
      <c r="SCF32" s="54"/>
      <c r="SCG32" s="54"/>
      <c r="SCH32" s="54"/>
      <c r="SCI32" s="58"/>
      <c r="SCJ32" s="58"/>
      <c r="SCK32" s="58"/>
      <c r="SCL32" s="58"/>
      <c r="SCM32" s="59"/>
      <c r="SCN32" s="60"/>
      <c r="SCO32" s="54"/>
      <c r="SCP32" s="54"/>
      <c r="SCQ32" s="36"/>
      <c r="SCR32" s="55"/>
      <c r="SCS32" s="54"/>
      <c r="SCT32" s="56"/>
      <c r="SCU32" s="57"/>
      <c r="SCV32" s="54"/>
      <c r="SCW32" s="54"/>
      <c r="SCX32" s="54"/>
      <c r="SCY32" s="58"/>
      <c r="SCZ32" s="58"/>
      <c r="SDA32" s="58"/>
      <c r="SDB32" s="58"/>
      <c r="SDC32" s="59"/>
      <c r="SDD32" s="60"/>
      <c r="SDE32" s="54"/>
      <c r="SDF32" s="54"/>
      <c r="SDG32" s="36"/>
      <c r="SDH32" s="55"/>
      <c r="SDI32" s="54"/>
      <c r="SDJ32" s="56"/>
      <c r="SDK32" s="57"/>
      <c r="SDL32" s="54"/>
      <c r="SDM32" s="54"/>
      <c r="SDN32" s="54"/>
      <c r="SDO32" s="58"/>
      <c r="SDP32" s="58"/>
      <c r="SDQ32" s="58"/>
      <c r="SDR32" s="58"/>
      <c r="SDS32" s="59"/>
      <c r="SDT32" s="60"/>
      <c r="SDU32" s="54"/>
      <c r="SDV32" s="54"/>
      <c r="SDW32" s="36"/>
      <c r="SDX32" s="55"/>
      <c r="SDY32" s="54"/>
      <c r="SDZ32" s="56"/>
      <c r="SEA32" s="57"/>
      <c r="SEB32" s="54"/>
      <c r="SEC32" s="54"/>
      <c r="SED32" s="54"/>
      <c r="SEE32" s="58"/>
      <c r="SEF32" s="58"/>
      <c r="SEG32" s="58"/>
      <c r="SEH32" s="58"/>
      <c r="SEI32" s="59"/>
      <c r="SEJ32" s="60"/>
      <c r="SEK32" s="54"/>
      <c r="SEL32" s="54"/>
      <c r="SEM32" s="36"/>
      <c r="SEN32" s="55"/>
      <c r="SEO32" s="54"/>
      <c r="SEP32" s="56"/>
      <c r="SEQ32" s="57"/>
      <c r="SER32" s="54"/>
      <c r="SES32" s="54"/>
      <c r="SET32" s="54"/>
      <c r="SEU32" s="58"/>
      <c r="SEV32" s="58"/>
      <c r="SEW32" s="58"/>
      <c r="SEX32" s="58"/>
      <c r="SEY32" s="59"/>
      <c r="SEZ32" s="60"/>
      <c r="SFA32" s="54"/>
      <c r="SFB32" s="54"/>
      <c r="SFC32" s="36"/>
      <c r="SFD32" s="55"/>
      <c r="SFE32" s="54"/>
      <c r="SFF32" s="56"/>
      <c r="SFG32" s="57"/>
      <c r="SFH32" s="54"/>
      <c r="SFI32" s="54"/>
      <c r="SFJ32" s="54"/>
      <c r="SFK32" s="58"/>
      <c r="SFL32" s="58"/>
      <c r="SFM32" s="58"/>
      <c r="SFN32" s="58"/>
      <c r="SFO32" s="59"/>
      <c r="SFP32" s="60"/>
      <c r="SFQ32" s="54"/>
      <c r="SFR32" s="54"/>
      <c r="SFS32" s="36"/>
      <c r="SFT32" s="55"/>
      <c r="SFU32" s="54"/>
      <c r="SFV32" s="56"/>
      <c r="SFW32" s="57"/>
      <c r="SFX32" s="54"/>
      <c r="SFY32" s="54"/>
      <c r="SFZ32" s="54"/>
      <c r="SGA32" s="58"/>
      <c r="SGB32" s="58"/>
      <c r="SGC32" s="58"/>
      <c r="SGD32" s="58"/>
      <c r="SGE32" s="59"/>
      <c r="SGF32" s="60"/>
      <c r="SGG32" s="54"/>
      <c r="SGH32" s="54"/>
      <c r="SGI32" s="36"/>
      <c r="SGJ32" s="55"/>
      <c r="SGK32" s="54"/>
      <c r="SGL32" s="56"/>
      <c r="SGM32" s="57"/>
      <c r="SGN32" s="54"/>
      <c r="SGO32" s="54"/>
      <c r="SGP32" s="54"/>
      <c r="SGQ32" s="58"/>
      <c r="SGR32" s="58"/>
      <c r="SGS32" s="58"/>
      <c r="SGT32" s="58"/>
      <c r="SGU32" s="59"/>
      <c r="SGV32" s="60"/>
      <c r="SGW32" s="54"/>
      <c r="SGX32" s="54"/>
      <c r="SGY32" s="36"/>
      <c r="SGZ32" s="55"/>
      <c r="SHA32" s="54"/>
      <c r="SHB32" s="56"/>
      <c r="SHC32" s="57"/>
      <c r="SHD32" s="54"/>
      <c r="SHE32" s="54"/>
      <c r="SHF32" s="54"/>
      <c r="SHG32" s="58"/>
      <c r="SHH32" s="58"/>
      <c r="SHI32" s="58"/>
      <c r="SHJ32" s="58"/>
      <c r="SHK32" s="59"/>
      <c r="SHL32" s="60"/>
      <c r="SHM32" s="54"/>
      <c r="SHN32" s="54"/>
      <c r="SHO32" s="36"/>
      <c r="SHP32" s="55"/>
      <c r="SHQ32" s="54"/>
      <c r="SHR32" s="56"/>
      <c r="SHS32" s="57"/>
      <c r="SHT32" s="54"/>
      <c r="SHU32" s="54"/>
      <c r="SHV32" s="54"/>
      <c r="SHW32" s="58"/>
      <c r="SHX32" s="58"/>
      <c r="SHY32" s="58"/>
      <c r="SHZ32" s="58"/>
      <c r="SIA32" s="59"/>
      <c r="SIB32" s="60"/>
      <c r="SIC32" s="54"/>
      <c r="SID32" s="54"/>
      <c r="SIE32" s="36"/>
      <c r="SIF32" s="55"/>
      <c r="SIG32" s="54"/>
      <c r="SIH32" s="56"/>
      <c r="SII32" s="57"/>
      <c r="SIJ32" s="54"/>
      <c r="SIK32" s="54"/>
      <c r="SIL32" s="54"/>
      <c r="SIM32" s="58"/>
      <c r="SIN32" s="58"/>
      <c r="SIO32" s="58"/>
      <c r="SIP32" s="58"/>
      <c r="SIQ32" s="59"/>
      <c r="SIR32" s="60"/>
      <c r="SIS32" s="54"/>
      <c r="SIT32" s="54"/>
      <c r="SIU32" s="36"/>
      <c r="SIV32" s="55"/>
      <c r="SIW32" s="54"/>
      <c r="SIX32" s="56"/>
      <c r="SIY32" s="57"/>
      <c r="SIZ32" s="54"/>
      <c r="SJA32" s="54"/>
      <c r="SJB32" s="54"/>
      <c r="SJC32" s="58"/>
      <c r="SJD32" s="58"/>
      <c r="SJE32" s="58"/>
      <c r="SJF32" s="58"/>
      <c r="SJG32" s="59"/>
      <c r="SJH32" s="60"/>
      <c r="SJI32" s="54"/>
      <c r="SJJ32" s="54"/>
      <c r="SJK32" s="36"/>
      <c r="SJL32" s="55"/>
      <c r="SJM32" s="54"/>
      <c r="SJN32" s="56"/>
      <c r="SJO32" s="57"/>
      <c r="SJP32" s="54"/>
      <c r="SJQ32" s="54"/>
      <c r="SJR32" s="54"/>
      <c r="SJS32" s="58"/>
      <c r="SJT32" s="58"/>
      <c r="SJU32" s="58"/>
      <c r="SJV32" s="58"/>
      <c r="SJW32" s="59"/>
      <c r="SJX32" s="60"/>
      <c r="SJY32" s="54"/>
      <c r="SJZ32" s="54"/>
      <c r="SKA32" s="36"/>
      <c r="SKB32" s="55"/>
      <c r="SKC32" s="54"/>
      <c r="SKD32" s="56"/>
      <c r="SKE32" s="57"/>
      <c r="SKF32" s="54"/>
      <c r="SKG32" s="54"/>
      <c r="SKH32" s="54"/>
      <c r="SKI32" s="58"/>
      <c r="SKJ32" s="58"/>
      <c r="SKK32" s="58"/>
      <c r="SKL32" s="58"/>
      <c r="SKM32" s="59"/>
      <c r="SKN32" s="60"/>
      <c r="SKO32" s="54"/>
      <c r="SKP32" s="54"/>
      <c r="SKQ32" s="36"/>
      <c r="SKR32" s="55"/>
      <c r="SKS32" s="54"/>
      <c r="SKT32" s="56"/>
      <c r="SKU32" s="57"/>
      <c r="SKV32" s="54"/>
      <c r="SKW32" s="54"/>
      <c r="SKX32" s="54"/>
      <c r="SKY32" s="58"/>
      <c r="SKZ32" s="58"/>
      <c r="SLA32" s="58"/>
      <c r="SLB32" s="58"/>
      <c r="SLC32" s="59"/>
      <c r="SLD32" s="60"/>
      <c r="SLE32" s="54"/>
      <c r="SLF32" s="54"/>
      <c r="SLG32" s="36"/>
      <c r="SLH32" s="55"/>
      <c r="SLI32" s="54"/>
      <c r="SLJ32" s="56"/>
      <c r="SLK32" s="57"/>
      <c r="SLL32" s="54"/>
      <c r="SLM32" s="54"/>
      <c r="SLN32" s="54"/>
      <c r="SLO32" s="58"/>
      <c r="SLP32" s="58"/>
      <c r="SLQ32" s="58"/>
      <c r="SLR32" s="58"/>
      <c r="SLS32" s="59"/>
      <c r="SLT32" s="60"/>
      <c r="SLU32" s="54"/>
      <c r="SLV32" s="54"/>
      <c r="SLW32" s="36"/>
      <c r="SLX32" s="55"/>
      <c r="SLY32" s="54"/>
      <c r="SLZ32" s="56"/>
      <c r="SMA32" s="57"/>
      <c r="SMB32" s="54"/>
      <c r="SMC32" s="54"/>
      <c r="SMD32" s="54"/>
      <c r="SME32" s="58"/>
      <c r="SMF32" s="58"/>
      <c r="SMG32" s="58"/>
      <c r="SMH32" s="58"/>
      <c r="SMI32" s="59"/>
      <c r="SMJ32" s="60"/>
      <c r="SMK32" s="54"/>
      <c r="SML32" s="54"/>
      <c r="SMM32" s="36"/>
      <c r="SMN32" s="55"/>
      <c r="SMO32" s="54"/>
      <c r="SMP32" s="56"/>
      <c r="SMQ32" s="57"/>
      <c r="SMR32" s="54"/>
      <c r="SMS32" s="54"/>
      <c r="SMT32" s="54"/>
      <c r="SMU32" s="58"/>
      <c r="SMV32" s="58"/>
      <c r="SMW32" s="58"/>
      <c r="SMX32" s="58"/>
      <c r="SMY32" s="59"/>
      <c r="SMZ32" s="60"/>
      <c r="SNA32" s="54"/>
      <c r="SNB32" s="54"/>
      <c r="SNC32" s="36"/>
      <c r="SND32" s="55"/>
      <c r="SNE32" s="54"/>
      <c r="SNF32" s="56"/>
      <c r="SNG32" s="57"/>
      <c r="SNH32" s="54"/>
      <c r="SNI32" s="54"/>
      <c r="SNJ32" s="54"/>
      <c r="SNK32" s="58"/>
      <c r="SNL32" s="58"/>
      <c r="SNM32" s="58"/>
      <c r="SNN32" s="58"/>
      <c r="SNO32" s="59"/>
      <c r="SNP32" s="60"/>
      <c r="SNQ32" s="54"/>
      <c r="SNR32" s="54"/>
      <c r="SNS32" s="36"/>
      <c r="SNT32" s="55"/>
      <c r="SNU32" s="54"/>
      <c r="SNV32" s="56"/>
      <c r="SNW32" s="57"/>
      <c r="SNX32" s="54"/>
      <c r="SNY32" s="54"/>
      <c r="SNZ32" s="54"/>
      <c r="SOA32" s="58"/>
      <c r="SOB32" s="58"/>
      <c r="SOC32" s="58"/>
      <c r="SOD32" s="58"/>
      <c r="SOE32" s="59"/>
      <c r="SOF32" s="60"/>
      <c r="SOG32" s="54"/>
      <c r="SOH32" s="54"/>
      <c r="SOI32" s="36"/>
      <c r="SOJ32" s="55"/>
      <c r="SOK32" s="54"/>
      <c r="SOL32" s="56"/>
      <c r="SOM32" s="57"/>
      <c r="SON32" s="54"/>
      <c r="SOO32" s="54"/>
      <c r="SOP32" s="54"/>
      <c r="SOQ32" s="58"/>
      <c r="SOR32" s="58"/>
      <c r="SOS32" s="58"/>
      <c r="SOT32" s="58"/>
      <c r="SOU32" s="59"/>
      <c r="SOV32" s="60"/>
      <c r="SOW32" s="54"/>
      <c r="SOX32" s="54"/>
      <c r="SOY32" s="36"/>
      <c r="SOZ32" s="55"/>
      <c r="SPA32" s="54"/>
      <c r="SPB32" s="56"/>
      <c r="SPC32" s="57"/>
      <c r="SPD32" s="54"/>
      <c r="SPE32" s="54"/>
      <c r="SPF32" s="54"/>
      <c r="SPG32" s="58"/>
      <c r="SPH32" s="58"/>
      <c r="SPI32" s="58"/>
      <c r="SPJ32" s="58"/>
      <c r="SPK32" s="59"/>
      <c r="SPL32" s="60"/>
      <c r="SPM32" s="54"/>
      <c r="SPN32" s="54"/>
      <c r="SPO32" s="36"/>
      <c r="SPP32" s="55"/>
      <c r="SPQ32" s="54"/>
      <c r="SPR32" s="56"/>
      <c r="SPS32" s="57"/>
      <c r="SPT32" s="54"/>
      <c r="SPU32" s="54"/>
      <c r="SPV32" s="54"/>
      <c r="SPW32" s="58"/>
      <c r="SPX32" s="58"/>
      <c r="SPY32" s="58"/>
      <c r="SPZ32" s="58"/>
      <c r="SQA32" s="59"/>
      <c r="SQB32" s="60"/>
      <c r="SQC32" s="54"/>
      <c r="SQD32" s="54"/>
      <c r="SQE32" s="36"/>
      <c r="SQF32" s="55"/>
      <c r="SQG32" s="54"/>
      <c r="SQH32" s="56"/>
      <c r="SQI32" s="57"/>
      <c r="SQJ32" s="54"/>
      <c r="SQK32" s="54"/>
      <c r="SQL32" s="54"/>
      <c r="SQM32" s="58"/>
      <c r="SQN32" s="58"/>
      <c r="SQO32" s="58"/>
      <c r="SQP32" s="58"/>
      <c r="SQQ32" s="59"/>
      <c r="SQR32" s="60"/>
      <c r="SQS32" s="54"/>
      <c r="SQT32" s="54"/>
      <c r="SQU32" s="36"/>
      <c r="SQV32" s="55"/>
      <c r="SQW32" s="54"/>
      <c r="SQX32" s="56"/>
      <c r="SQY32" s="57"/>
      <c r="SQZ32" s="54"/>
      <c r="SRA32" s="54"/>
      <c r="SRB32" s="54"/>
      <c r="SRC32" s="58"/>
      <c r="SRD32" s="58"/>
      <c r="SRE32" s="58"/>
      <c r="SRF32" s="58"/>
      <c r="SRG32" s="59"/>
      <c r="SRH32" s="60"/>
      <c r="SRI32" s="54"/>
      <c r="SRJ32" s="54"/>
      <c r="SRK32" s="36"/>
      <c r="SRL32" s="55"/>
      <c r="SRM32" s="54"/>
      <c r="SRN32" s="56"/>
      <c r="SRO32" s="57"/>
      <c r="SRP32" s="54"/>
      <c r="SRQ32" s="54"/>
      <c r="SRR32" s="54"/>
      <c r="SRS32" s="58"/>
      <c r="SRT32" s="58"/>
      <c r="SRU32" s="58"/>
      <c r="SRV32" s="58"/>
      <c r="SRW32" s="59"/>
      <c r="SRX32" s="60"/>
      <c r="SRY32" s="54"/>
      <c r="SRZ32" s="54"/>
      <c r="SSA32" s="36"/>
      <c r="SSB32" s="55"/>
      <c r="SSC32" s="54"/>
      <c r="SSD32" s="56"/>
      <c r="SSE32" s="57"/>
      <c r="SSF32" s="54"/>
      <c r="SSG32" s="54"/>
      <c r="SSH32" s="54"/>
      <c r="SSI32" s="58"/>
      <c r="SSJ32" s="58"/>
      <c r="SSK32" s="58"/>
      <c r="SSL32" s="58"/>
      <c r="SSM32" s="59"/>
      <c r="SSN32" s="60"/>
      <c r="SSO32" s="54"/>
      <c r="SSP32" s="54"/>
      <c r="SSQ32" s="36"/>
      <c r="SSR32" s="55"/>
      <c r="SSS32" s="54"/>
      <c r="SST32" s="56"/>
      <c r="SSU32" s="57"/>
      <c r="SSV32" s="54"/>
      <c r="SSW32" s="54"/>
      <c r="SSX32" s="54"/>
      <c r="SSY32" s="58"/>
      <c r="SSZ32" s="58"/>
      <c r="STA32" s="58"/>
      <c r="STB32" s="58"/>
      <c r="STC32" s="59"/>
      <c r="STD32" s="60"/>
      <c r="STE32" s="54"/>
      <c r="STF32" s="54"/>
      <c r="STG32" s="36"/>
      <c r="STH32" s="55"/>
      <c r="STI32" s="54"/>
      <c r="STJ32" s="56"/>
      <c r="STK32" s="57"/>
      <c r="STL32" s="54"/>
      <c r="STM32" s="54"/>
      <c r="STN32" s="54"/>
      <c r="STO32" s="58"/>
      <c r="STP32" s="58"/>
      <c r="STQ32" s="58"/>
      <c r="STR32" s="58"/>
      <c r="STS32" s="59"/>
      <c r="STT32" s="60"/>
      <c r="STU32" s="54"/>
      <c r="STV32" s="54"/>
      <c r="STW32" s="36"/>
      <c r="STX32" s="55"/>
      <c r="STY32" s="54"/>
      <c r="STZ32" s="56"/>
      <c r="SUA32" s="57"/>
      <c r="SUB32" s="54"/>
      <c r="SUC32" s="54"/>
      <c r="SUD32" s="54"/>
      <c r="SUE32" s="58"/>
      <c r="SUF32" s="58"/>
      <c r="SUG32" s="58"/>
      <c r="SUH32" s="58"/>
      <c r="SUI32" s="59"/>
      <c r="SUJ32" s="60"/>
      <c r="SUK32" s="54"/>
      <c r="SUL32" s="54"/>
      <c r="SUM32" s="36"/>
      <c r="SUN32" s="55"/>
      <c r="SUO32" s="54"/>
      <c r="SUP32" s="56"/>
      <c r="SUQ32" s="57"/>
      <c r="SUR32" s="54"/>
      <c r="SUS32" s="54"/>
      <c r="SUT32" s="54"/>
      <c r="SUU32" s="58"/>
      <c r="SUV32" s="58"/>
      <c r="SUW32" s="58"/>
      <c r="SUX32" s="58"/>
      <c r="SUY32" s="59"/>
      <c r="SUZ32" s="60"/>
      <c r="SVA32" s="54"/>
      <c r="SVB32" s="54"/>
      <c r="SVC32" s="36"/>
      <c r="SVD32" s="55"/>
      <c r="SVE32" s="54"/>
      <c r="SVF32" s="56"/>
      <c r="SVG32" s="57"/>
      <c r="SVH32" s="54"/>
      <c r="SVI32" s="54"/>
      <c r="SVJ32" s="54"/>
      <c r="SVK32" s="58"/>
      <c r="SVL32" s="58"/>
      <c r="SVM32" s="58"/>
      <c r="SVN32" s="58"/>
      <c r="SVO32" s="59"/>
      <c r="SVP32" s="60"/>
      <c r="SVQ32" s="54"/>
      <c r="SVR32" s="54"/>
      <c r="SVS32" s="36"/>
      <c r="SVT32" s="55"/>
      <c r="SVU32" s="54"/>
      <c r="SVV32" s="56"/>
      <c r="SVW32" s="57"/>
      <c r="SVX32" s="54"/>
      <c r="SVY32" s="54"/>
      <c r="SVZ32" s="54"/>
      <c r="SWA32" s="58"/>
      <c r="SWB32" s="58"/>
      <c r="SWC32" s="58"/>
      <c r="SWD32" s="58"/>
      <c r="SWE32" s="59"/>
      <c r="SWF32" s="60"/>
      <c r="SWG32" s="54"/>
      <c r="SWH32" s="54"/>
      <c r="SWI32" s="36"/>
      <c r="SWJ32" s="55"/>
      <c r="SWK32" s="54"/>
      <c r="SWL32" s="56"/>
      <c r="SWM32" s="57"/>
      <c r="SWN32" s="54"/>
      <c r="SWO32" s="54"/>
      <c r="SWP32" s="54"/>
      <c r="SWQ32" s="58"/>
      <c r="SWR32" s="58"/>
      <c r="SWS32" s="58"/>
      <c r="SWT32" s="58"/>
      <c r="SWU32" s="59"/>
      <c r="SWV32" s="60"/>
      <c r="SWW32" s="54"/>
      <c r="SWX32" s="54"/>
      <c r="SWY32" s="36"/>
      <c r="SWZ32" s="55"/>
      <c r="SXA32" s="54"/>
      <c r="SXB32" s="56"/>
      <c r="SXC32" s="57"/>
      <c r="SXD32" s="54"/>
      <c r="SXE32" s="54"/>
      <c r="SXF32" s="54"/>
      <c r="SXG32" s="58"/>
      <c r="SXH32" s="58"/>
      <c r="SXI32" s="58"/>
      <c r="SXJ32" s="58"/>
      <c r="SXK32" s="59"/>
      <c r="SXL32" s="60"/>
      <c r="SXM32" s="54"/>
      <c r="SXN32" s="54"/>
      <c r="SXO32" s="36"/>
      <c r="SXP32" s="55"/>
      <c r="SXQ32" s="54"/>
      <c r="SXR32" s="56"/>
      <c r="SXS32" s="57"/>
      <c r="SXT32" s="54"/>
      <c r="SXU32" s="54"/>
      <c r="SXV32" s="54"/>
      <c r="SXW32" s="58"/>
      <c r="SXX32" s="58"/>
      <c r="SXY32" s="58"/>
      <c r="SXZ32" s="58"/>
      <c r="SYA32" s="59"/>
      <c r="SYB32" s="60"/>
      <c r="SYC32" s="54"/>
      <c r="SYD32" s="54"/>
      <c r="SYE32" s="36"/>
      <c r="SYF32" s="55"/>
      <c r="SYG32" s="54"/>
      <c r="SYH32" s="56"/>
      <c r="SYI32" s="57"/>
      <c r="SYJ32" s="54"/>
      <c r="SYK32" s="54"/>
      <c r="SYL32" s="54"/>
      <c r="SYM32" s="58"/>
      <c r="SYN32" s="58"/>
      <c r="SYO32" s="58"/>
      <c r="SYP32" s="58"/>
      <c r="SYQ32" s="59"/>
      <c r="SYR32" s="60"/>
      <c r="SYS32" s="54"/>
      <c r="SYT32" s="54"/>
      <c r="SYU32" s="36"/>
      <c r="SYV32" s="55"/>
      <c r="SYW32" s="54"/>
      <c r="SYX32" s="56"/>
      <c r="SYY32" s="57"/>
      <c r="SYZ32" s="54"/>
      <c r="SZA32" s="54"/>
      <c r="SZB32" s="54"/>
      <c r="SZC32" s="58"/>
      <c r="SZD32" s="58"/>
      <c r="SZE32" s="58"/>
      <c r="SZF32" s="58"/>
      <c r="SZG32" s="59"/>
      <c r="SZH32" s="60"/>
      <c r="SZI32" s="54"/>
      <c r="SZJ32" s="54"/>
      <c r="SZK32" s="36"/>
      <c r="SZL32" s="55"/>
      <c r="SZM32" s="54"/>
      <c r="SZN32" s="56"/>
      <c r="SZO32" s="57"/>
      <c r="SZP32" s="54"/>
      <c r="SZQ32" s="54"/>
      <c r="SZR32" s="54"/>
      <c r="SZS32" s="58"/>
      <c r="SZT32" s="58"/>
      <c r="SZU32" s="58"/>
      <c r="SZV32" s="58"/>
      <c r="SZW32" s="59"/>
      <c r="SZX32" s="60"/>
      <c r="SZY32" s="54"/>
      <c r="SZZ32" s="54"/>
      <c r="TAA32" s="36"/>
      <c r="TAB32" s="55"/>
      <c r="TAC32" s="54"/>
      <c r="TAD32" s="56"/>
      <c r="TAE32" s="57"/>
      <c r="TAF32" s="54"/>
      <c r="TAG32" s="54"/>
      <c r="TAH32" s="54"/>
      <c r="TAI32" s="58"/>
      <c r="TAJ32" s="58"/>
      <c r="TAK32" s="58"/>
      <c r="TAL32" s="58"/>
      <c r="TAM32" s="59"/>
      <c r="TAN32" s="60"/>
      <c r="TAO32" s="54"/>
      <c r="TAP32" s="54"/>
      <c r="TAQ32" s="36"/>
      <c r="TAR32" s="55"/>
      <c r="TAS32" s="54"/>
      <c r="TAT32" s="56"/>
      <c r="TAU32" s="57"/>
      <c r="TAV32" s="54"/>
      <c r="TAW32" s="54"/>
      <c r="TAX32" s="54"/>
      <c r="TAY32" s="58"/>
      <c r="TAZ32" s="58"/>
      <c r="TBA32" s="58"/>
      <c r="TBB32" s="58"/>
      <c r="TBC32" s="59"/>
      <c r="TBD32" s="60"/>
      <c r="TBE32" s="54"/>
      <c r="TBF32" s="54"/>
      <c r="TBG32" s="36"/>
      <c r="TBH32" s="55"/>
      <c r="TBI32" s="54"/>
      <c r="TBJ32" s="56"/>
      <c r="TBK32" s="57"/>
      <c r="TBL32" s="54"/>
      <c r="TBM32" s="54"/>
      <c r="TBN32" s="54"/>
      <c r="TBO32" s="58"/>
      <c r="TBP32" s="58"/>
      <c r="TBQ32" s="58"/>
      <c r="TBR32" s="58"/>
      <c r="TBS32" s="59"/>
      <c r="TBT32" s="60"/>
      <c r="TBU32" s="54"/>
      <c r="TBV32" s="54"/>
      <c r="TBW32" s="36"/>
      <c r="TBX32" s="55"/>
      <c r="TBY32" s="54"/>
      <c r="TBZ32" s="56"/>
      <c r="TCA32" s="57"/>
      <c r="TCB32" s="54"/>
      <c r="TCC32" s="54"/>
      <c r="TCD32" s="54"/>
      <c r="TCE32" s="58"/>
      <c r="TCF32" s="58"/>
      <c r="TCG32" s="58"/>
      <c r="TCH32" s="58"/>
      <c r="TCI32" s="59"/>
      <c r="TCJ32" s="60"/>
      <c r="TCK32" s="54"/>
      <c r="TCL32" s="54"/>
      <c r="TCM32" s="36"/>
      <c r="TCN32" s="55"/>
      <c r="TCO32" s="54"/>
      <c r="TCP32" s="56"/>
      <c r="TCQ32" s="57"/>
      <c r="TCR32" s="54"/>
      <c r="TCS32" s="54"/>
      <c r="TCT32" s="54"/>
      <c r="TCU32" s="58"/>
      <c r="TCV32" s="58"/>
      <c r="TCW32" s="58"/>
      <c r="TCX32" s="58"/>
      <c r="TCY32" s="59"/>
      <c r="TCZ32" s="60"/>
      <c r="TDA32" s="54"/>
      <c r="TDB32" s="54"/>
      <c r="TDC32" s="36"/>
      <c r="TDD32" s="55"/>
      <c r="TDE32" s="54"/>
      <c r="TDF32" s="56"/>
      <c r="TDG32" s="57"/>
      <c r="TDH32" s="54"/>
      <c r="TDI32" s="54"/>
      <c r="TDJ32" s="54"/>
      <c r="TDK32" s="58"/>
      <c r="TDL32" s="58"/>
      <c r="TDM32" s="58"/>
      <c r="TDN32" s="58"/>
      <c r="TDO32" s="59"/>
      <c r="TDP32" s="60"/>
      <c r="TDQ32" s="54"/>
      <c r="TDR32" s="54"/>
      <c r="TDS32" s="36"/>
      <c r="TDT32" s="55"/>
      <c r="TDU32" s="54"/>
      <c r="TDV32" s="56"/>
      <c r="TDW32" s="57"/>
      <c r="TDX32" s="54"/>
      <c r="TDY32" s="54"/>
      <c r="TDZ32" s="54"/>
      <c r="TEA32" s="58"/>
      <c r="TEB32" s="58"/>
      <c r="TEC32" s="58"/>
      <c r="TED32" s="58"/>
      <c r="TEE32" s="59"/>
      <c r="TEF32" s="60"/>
      <c r="TEG32" s="54"/>
      <c r="TEH32" s="54"/>
      <c r="TEI32" s="36"/>
      <c r="TEJ32" s="55"/>
      <c r="TEK32" s="54"/>
      <c r="TEL32" s="56"/>
      <c r="TEM32" s="57"/>
      <c r="TEN32" s="54"/>
      <c r="TEO32" s="54"/>
      <c r="TEP32" s="54"/>
      <c r="TEQ32" s="58"/>
      <c r="TER32" s="58"/>
      <c r="TES32" s="58"/>
      <c r="TET32" s="58"/>
      <c r="TEU32" s="59"/>
      <c r="TEV32" s="60"/>
      <c r="TEW32" s="54"/>
      <c r="TEX32" s="54"/>
      <c r="TEY32" s="36"/>
      <c r="TEZ32" s="55"/>
      <c r="TFA32" s="54"/>
      <c r="TFB32" s="56"/>
      <c r="TFC32" s="57"/>
      <c r="TFD32" s="54"/>
      <c r="TFE32" s="54"/>
      <c r="TFF32" s="54"/>
      <c r="TFG32" s="58"/>
      <c r="TFH32" s="58"/>
      <c r="TFI32" s="58"/>
      <c r="TFJ32" s="58"/>
      <c r="TFK32" s="59"/>
      <c r="TFL32" s="60"/>
      <c r="TFM32" s="54"/>
      <c r="TFN32" s="54"/>
      <c r="TFO32" s="36"/>
      <c r="TFP32" s="55"/>
      <c r="TFQ32" s="54"/>
      <c r="TFR32" s="56"/>
      <c r="TFS32" s="57"/>
      <c r="TFT32" s="54"/>
      <c r="TFU32" s="54"/>
      <c r="TFV32" s="54"/>
      <c r="TFW32" s="58"/>
      <c r="TFX32" s="58"/>
      <c r="TFY32" s="58"/>
      <c r="TFZ32" s="58"/>
      <c r="TGA32" s="59"/>
      <c r="TGB32" s="60"/>
      <c r="TGC32" s="54"/>
      <c r="TGD32" s="54"/>
      <c r="TGE32" s="36"/>
      <c r="TGF32" s="55"/>
      <c r="TGG32" s="54"/>
      <c r="TGH32" s="56"/>
      <c r="TGI32" s="57"/>
      <c r="TGJ32" s="54"/>
      <c r="TGK32" s="54"/>
      <c r="TGL32" s="54"/>
      <c r="TGM32" s="58"/>
      <c r="TGN32" s="58"/>
      <c r="TGO32" s="58"/>
      <c r="TGP32" s="58"/>
      <c r="TGQ32" s="59"/>
      <c r="TGR32" s="60"/>
      <c r="TGS32" s="54"/>
      <c r="TGT32" s="54"/>
      <c r="TGU32" s="36"/>
      <c r="TGV32" s="55"/>
      <c r="TGW32" s="54"/>
      <c r="TGX32" s="56"/>
      <c r="TGY32" s="57"/>
      <c r="TGZ32" s="54"/>
      <c r="THA32" s="54"/>
      <c r="THB32" s="54"/>
      <c r="THC32" s="58"/>
      <c r="THD32" s="58"/>
      <c r="THE32" s="58"/>
      <c r="THF32" s="58"/>
      <c r="THG32" s="59"/>
      <c r="THH32" s="60"/>
      <c r="THI32" s="54"/>
      <c r="THJ32" s="54"/>
      <c r="THK32" s="36"/>
      <c r="THL32" s="55"/>
      <c r="THM32" s="54"/>
      <c r="THN32" s="56"/>
      <c r="THO32" s="57"/>
      <c r="THP32" s="54"/>
      <c r="THQ32" s="54"/>
      <c r="THR32" s="54"/>
      <c r="THS32" s="58"/>
      <c r="THT32" s="58"/>
      <c r="THU32" s="58"/>
      <c r="THV32" s="58"/>
      <c r="THW32" s="59"/>
      <c r="THX32" s="60"/>
      <c r="THY32" s="54"/>
      <c r="THZ32" s="54"/>
      <c r="TIA32" s="36"/>
      <c r="TIB32" s="55"/>
      <c r="TIC32" s="54"/>
      <c r="TID32" s="56"/>
      <c r="TIE32" s="57"/>
      <c r="TIF32" s="54"/>
      <c r="TIG32" s="54"/>
      <c r="TIH32" s="54"/>
      <c r="TII32" s="58"/>
      <c r="TIJ32" s="58"/>
      <c r="TIK32" s="58"/>
      <c r="TIL32" s="58"/>
      <c r="TIM32" s="59"/>
      <c r="TIN32" s="60"/>
      <c r="TIO32" s="54"/>
      <c r="TIP32" s="54"/>
      <c r="TIQ32" s="36"/>
      <c r="TIR32" s="55"/>
      <c r="TIS32" s="54"/>
      <c r="TIT32" s="56"/>
      <c r="TIU32" s="57"/>
      <c r="TIV32" s="54"/>
      <c r="TIW32" s="54"/>
      <c r="TIX32" s="54"/>
      <c r="TIY32" s="58"/>
      <c r="TIZ32" s="58"/>
      <c r="TJA32" s="58"/>
      <c r="TJB32" s="58"/>
      <c r="TJC32" s="59"/>
      <c r="TJD32" s="60"/>
      <c r="TJE32" s="54"/>
      <c r="TJF32" s="54"/>
      <c r="TJG32" s="36"/>
      <c r="TJH32" s="55"/>
      <c r="TJI32" s="54"/>
      <c r="TJJ32" s="56"/>
      <c r="TJK32" s="57"/>
      <c r="TJL32" s="54"/>
      <c r="TJM32" s="54"/>
      <c r="TJN32" s="54"/>
      <c r="TJO32" s="58"/>
      <c r="TJP32" s="58"/>
      <c r="TJQ32" s="58"/>
      <c r="TJR32" s="58"/>
      <c r="TJS32" s="59"/>
      <c r="TJT32" s="60"/>
      <c r="TJU32" s="54"/>
      <c r="TJV32" s="54"/>
      <c r="TJW32" s="36"/>
      <c r="TJX32" s="55"/>
      <c r="TJY32" s="54"/>
      <c r="TJZ32" s="56"/>
      <c r="TKA32" s="57"/>
      <c r="TKB32" s="54"/>
      <c r="TKC32" s="54"/>
      <c r="TKD32" s="54"/>
      <c r="TKE32" s="58"/>
      <c r="TKF32" s="58"/>
      <c r="TKG32" s="58"/>
      <c r="TKH32" s="58"/>
      <c r="TKI32" s="59"/>
      <c r="TKJ32" s="60"/>
      <c r="TKK32" s="54"/>
      <c r="TKL32" s="54"/>
      <c r="TKM32" s="36"/>
      <c r="TKN32" s="55"/>
      <c r="TKO32" s="54"/>
      <c r="TKP32" s="56"/>
      <c r="TKQ32" s="57"/>
      <c r="TKR32" s="54"/>
      <c r="TKS32" s="54"/>
      <c r="TKT32" s="54"/>
      <c r="TKU32" s="58"/>
      <c r="TKV32" s="58"/>
      <c r="TKW32" s="58"/>
      <c r="TKX32" s="58"/>
      <c r="TKY32" s="59"/>
      <c r="TKZ32" s="60"/>
      <c r="TLA32" s="54"/>
      <c r="TLB32" s="54"/>
      <c r="TLC32" s="36"/>
      <c r="TLD32" s="55"/>
      <c r="TLE32" s="54"/>
      <c r="TLF32" s="56"/>
      <c r="TLG32" s="57"/>
      <c r="TLH32" s="54"/>
      <c r="TLI32" s="54"/>
      <c r="TLJ32" s="54"/>
      <c r="TLK32" s="58"/>
      <c r="TLL32" s="58"/>
      <c r="TLM32" s="58"/>
      <c r="TLN32" s="58"/>
      <c r="TLO32" s="59"/>
      <c r="TLP32" s="60"/>
      <c r="TLQ32" s="54"/>
      <c r="TLR32" s="54"/>
      <c r="TLS32" s="36"/>
      <c r="TLT32" s="55"/>
      <c r="TLU32" s="54"/>
      <c r="TLV32" s="56"/>
      <c r="TLW32" s="57"/>
      <c r="TLX32" s="54"/>
      <c r="TLY32" s="54"/>
      <c r="TLZ32" s="54"/>
      <c r="TMA32" s="58"/>
      <c r="TMB32" s="58"/>
      <c r="TMC32" s="58"/>
      <c r="TMD32" s="58"/>
      <c r="TME32" s="59"/>
      <c r="TMF32" s="60"/>
      <c r="TMG32" s="54"/>
      <c r="TMH32" s="54"/>
      <c r="TMI32" s="36"/>
      <c r="TMJ32" s="55"/>
      <c r="TMK32" s="54"/>
      <c r="TML32" s="56"/>
      <c r="TMM32" s="57"/>
      <c r="TMN32" s="54"/>
      <c r="TMO32" s="54"/>
      <c r="TMP32" s="54"/>
      <c r="TMQ32" s="58"/>
      <c r="TMR32" s="58"/>
      <c r="TMS32" s="58"/>
      <c r="TMT32" s="58"/>
      <c r="TMU32" s="59"/>
      <c r="TMV32" s="60"/>
      <c r="TMW32" s="54"/>
      <c r="TMX32" s="54"/>
      <c r="TMY32" s="36"/>
      <c r="TMZ32" s="55"/>
      <c r="TNA32" s="54"/>
      <c r="TNB32" s="56"/>
      <c r="TNC32" s="57"/>
      <c r="TND32" s="54"/>
      <c r="TNE32" s="54"/>
      <c r="TNF32" s="54"/>
      <c r="TNG32" s="58"/>
      <c r="TNH32" s="58"/>
      <c r="TNI32" s="58"/>
      <c r="TNJ32" s="58"/>
      <c r="TNK32" s="59"/>
      <c r="TNL32" s="60"/>
      <c r="TNM32" s="54"/>
      <c r="TNN32" s="54"/>
      <c r="TNO32" s="36"/>
      <c r="TNP32" s="55"/>
      <c r="TNQ32" s="54"/>
      <c r="TNR32" s="56"/>
      <c r="TNS32" s="57"/>
      <c r="TNT32" s="54"/>
      <c r="TNU32" s="54"/>
      <c r="TNV32" s="54"/>
      <c r="TNW32" s="58"/>
      <c r="TNX32" s="58"/>
      <c r="TNY32" s="58"/>
      <c r="TNZ32" s="58"/>
      <c r="TOA32" s="59"/>
      <c r="TOB32" s="60"/>
      <c r="TOC32" s="54"/>
      <c r="TOD32" s="54"/>
      <c r="TOE32" s="36"/>
      <c r="TOF32" s="55"/>
      <c r="TOG32" s="54"/>
      <c r="TOH32" s="56"/>
      <c r="TOI32" s="57"/>
      <c r="TOJ32" s="54"/>
      <c r="TOK32" s="54"/>
      <c r="TOL32" s="54"/>
      <c r="TOM32" s="58"/>
      <c r="TON32" s="58"/>
      <c r="TOO32" s="58"/>
      <c r="TOP32" s="58"/>
      <c r="TOQ32" s="59"/>
      <c r="TOR32" s="60"/>
      <c r="TOS32" s="54"/>
      <c r="TOT32" s="54"/>
      <c r="TOU32" s="36"/>
      <c r="TOV32" s="55"/>
      <c r="TOW32" s="54"/>
      <c r="TOX32" s="56"/>
      <c r="TOY32" s="57"/>
      <c r="TOZ32" s="54"/>
      <c r="TPA32" s="54"/>
      <c r="TPB32" s="54"/>
      <c r="TPC32" s="58"/>
      <c r="TPD32" s="58"/>
      <c r="TPE32" s="58"/>
      <c r="TPF32" s="58"/>
      <c r="TPG32" s="59"/>
      <c r="TPH32" s="60"/>
      <c r="TPI32" s="54"/>
      <c r="TPJ32" s="54"/>
      <c r="TPK32" s="36"/>
      <c r="TPL32" s="55"/>
      <c r="TPM32" s="54"/>
      <c r="TPN32" s="56"/>
      <c r="TPO32" s="57"/>
      <c r="TPP32" s="54"/>
      <c r="TPQ32" s="54"/>
      <c r="TPR32" s="54"/>
      <c r="TPS32" s="58"/>
      <c r="TPT32" s="58"/>
      <c r="TPU32" s="58"/>
      <c r="TPV32" s="58"/>
      <c r="TPW32" s="59"/>
      <c r="TPX32" s="60"/>
      <c r="TPY32" s="54"/>
      <c r="TPZ32" s="54"/>
      <c r="TQA32" s="36"/>
      <c r="TQB32" s="55"/>
      <c r="TQC32" s="54"/>
      <c r="TQD32" s="56"/>
      <c r="TQE32" s="57"/>
      <c r="TQF32" s="54"/>
      <c r="TQG32" s="54"/>
      <c r="TQH32" s="54"/>
      <c r="TQI32" s="58"/>
      <c r="TQJ32" s="58"/>
      <c r="TQK32" s="58"/>
      <c r="TQL32" s="58"/>
      <c r="TQM32" s="59"/>
      <c r="TQN32" s="60"/>
      <c r="TQO32" s="54"/>
      <c r="TQP32" s="54"/>
      <c r="TQQ32" s="36"/>
      <c r="TQR32" s="55"/>
      <c r="TQS32" s="54"/>
      <c r="TQT32" s="56"/>
      <c r="TQU32" s="57"/>
      <c r="TQV32" s="54"/>
      <c r="TQW32" s="54"/>
      <c r="TQX32" s="54"/>
      <c r="TQY32" s="58"/>
      <c r="TQZ32" s="58"/>
      <c r="TRA32" s="58"/>
      <c r="TRB32" s="58"/>
      <c r="TRC32" s="59"/>
      <c r="TRD32" s="60"/>
      <c r="TRE32" s="54"/>
      <c r="TRF32" s="54"/>
      <c r="TRG32" s="36"/>
      <c r="TRH32" s="55"/>
      <c r="TRI32" s="54"/>
      <c r="TRJ32" s="56"/>
      <c r="TRK32" s="57"/>
      <c r="TRL32" s="54"/>
      <c r="TRM32" s="54"/>
      <c r="TRN32" s="54"/>
      <c r="TRO32" s="58"/>
      <c r="TRP32" s="58"/>
      <c r="TRQ32" s="58"/>
      <c r="TRR32" s="58"/>
      <c r="TRS32" s="59"/>
      <c r="TRT32" s="60"/>
      <c r="TRU32" s="54"/>
      <c r="TRV32" s="54"/>
      <c r="TRW32" s="36"/>
      <c r="TRX32" s="55"/>
      <c r="TRY32" s="54"/>
      <c r="TRZ32" s="56"/>
      <c r="TSA32" s="57"/>
      <c r="TSB32" s="54"/>
      <c r="TSC32" s="54"/>
      <c r="TSD32" s="54"/>
      <c r="TSE32" s="58"/>
      <c r="TSF32" s="58"/>
      <c r="TSG32" s="58"/>
      <c r="TSH32" s="58"/>
      <c r="TSI32" s="59"/>
      <c r="TSJ32" s="60"/>
      <c r="TSK32" s="54"/>
      <c r="TSL32" s="54"/>
      <c r="TSM32" s="36"/>
      <c r="TSN32" s="55"/>
      <c r="TSO32" s="54"/>
      <c r="TSP32" s="56"/>
      <c r="TSQ32" s="57"/>
      <c r="TSR32" s="54"/>
      <c r="TSS32" s="54"/>
      <c r="TST32" s="54"/>
      <c r="TSU32" s="58"/>
      <c r="TSV32" s="58"/>
      <c r="TSW32" s="58"/>
      <c r="TSX32" s="58"/>
      <c r="TSY32" s="59"/>
      <c r="TSZ32" s="60"/>
      <c r="TTA32" s="54"/>
      <c r="TTB32" s="54"/>
      <c r="TTC32" s="36"/>
      <c r="TTD32" s="55"/>
      <c r="TTE32" s="54"/>
      <c r="TTF32" s="56"/>
      <c r="TTG32" s="57"/>
      <c r="TTH32" s="54"/>
      <c r="TTI32" s="54"/>
      <c r="TTJ32" s="54"/>
      <c r="TTK32" s="58"/>
      <c r="TTL32" s="58"/>
      <c r="TTM32" s="58"/>
      <c r="TTN32" s="58"/>
      <c r="TTO32" s="59"/>
      <c r="TTP32" s="60"/>
      <c r="TTQ32" s="54"/>
      <c r="TTR32" s="54"/>
      <c r="TTS32" s="36"/>
      <c r="TTT32" s="55"/>
      <c r="TTU32" s="54"/>
      <c r="TTV32" s="56"/>
      <c r="TTW32" s="57"/>
      <c r="TTX32" s="54"/>
      <c r="TTY32" s="54"/>
      <c r="TTZ32" s="54"/>
      <c r="TUA32" s="58"/>
      <c r="TUB32" s="58"/>
      <c r="TUC32" s="58"/>
      <c r="TUD32" s="58"/>
      <c r="TUE32" s="59"/>
      <c r="TUF32" s="60"/>
      <c r="TUG32" s="54"/>
      <c r="TUH32" s="54"/>
      <c r="TUI32" s="36"/>
      <c r="TUJ32" s="55"/>
      <c r="TUK32" s="54"/>
      <c r="TUL32" s="56"/>
      <c r="TUM32" s="57"/>
      <c r="TUN32" s="54"/>
      <c r="TUO32" s="54"/>
      <c r="TUP32" s="54"/>
      <c r="TUQ32" s="58"/>
      <c r="TUR32" s="58"/>
      <c r="TUS32" s="58"/>
      <c r="TUT32" s="58"/>
      <c r="TUU32" s="59"/>
      <c r="TUV32" s="60"/>
      <c r="TUW32" s="54"/>
      <c r="TUX32" s="54"/>
      <c r="TUY32" s="36"/>
      <c r="TUZ32" s="55"/>
      <c r="TVA32" s="54"/>
      <c r="TVB32" s="56"/>
      <c r="TVC32" s="57"/>
      <c r="TVD32" s="54"/>
      <c r="TVE32" s="54"/>
      <c r="TVF32" s="54"/>
      <c r="TVG32" s="58"/>
      <c r="TVH32" s="58"/>
      <c r="TVI32" s="58"/>
      <c r="TVJ32" s="58"/>
      <c r="TVK32" s="59"/>
      <c r="TVL32" s="60"/>
      <c r="TVM32" s="54"/>
      <c r="TVN32" s="54"/>
      <c r="TVO32" s="36"/>
      <c r="TVP32" s="55"/>
      <c r="TVQ32" s="54"/>
      <c r="TVR32" s="56"/>
      <c r="TVS32" s="57"/>
      <c r="TVT32" s="54"/>
      <c r="TVU32" s="54"/>
      <c r="TVV32" s="54"/>
      <c r="TVW32" s="58"/>
      <c r="TVX32" s="58"/>
      <c r="TVY32" s="58"/>
      <c r="TVZ32" s="58"/>
      <c r="TWA32" s="59"/>
      <c r="TWB32" s="60"/>
      <c r="TWC32" s="54"/>
      <c r="TWD32" s="54"/>
      <c r="TWE32" s="36"/>
      <c r="TWF32" s="55"/>
      <c r="TWG32" s="54"/>
      <c r="TWH32" s="56"/>
      <c r="TWI32" s="57"/>
      <c r="TWJ32" s="54"/>
      <c r="TWK32" s="54"/>
      <c r="TWL32" s="54"/>
      <c r="TWM32" s="58"/>
      <c r="TWN32" s="58"/>
      <c r="TWO32" s="58"/>
      <c r="TWP32" s="58"/>
      <c r="TWQ32" s="59"/>
      <c r="TWR32" s="60"/>
      <c r="TWS32" s="54"/>
      <c r="TWT32" s="54"/>
      <c r="TWU32" s="36"/>
      <c r="TWV32" s="55"/>
      <c r="TWW32" s="54"/>
      <c r="TWX32" s="56"/>
      <c r="TWY32" s="57"/>
      <c r="TWZ32" s="54"/>
      <c r="TXA32" s="54"/>
      <c r="TXB32" s="54"/>
      <c r="TXC32" s="58"/>
      <c r="TXD32" s="58"/>
      <c r="TXE32" s="58"/>
      <c r="TXF32" s="58"/>
      <c r="TXG32" s="59"/>
      <c r="TXH32" s="60"/>
      <c r="TXI32" s="54"/>
      <c r="TXJ32" s="54"/>
      <c r="TXK32" s="36"/>
      <c r="TXL32" s="55"/>
      <c r="TXM32" s="54"/>
      <c r="TXN32" s="56"/>
      <c r="TXO32" s="57"/>
      <c r="TXP32" s="54"/>
      <c r="TXQ32" s="54"/>
      <c r="TXR32" s="54"/>
      <c r="TXS32" s="58"/>
      <c r="TXT32" s="58"/>
      <c r="TXU32" s="58"/>
      <c r="TXV32" s="58"/>
      <c r="TXW32" s="59"/>
      <c r="TXX32" s="60"/>
      <c r="TXY32" s="54"/>
      <c r="TXZ32" s="54"/>
      <c r="TYA32" s="36"/>
      <c r="TYB32" s="55"/>
      <c r="TYC32" s="54"/>
      <c r="TYD32" s="56"/>
      <c r="TYE32" s="57"/>
      <c r="TYF32" s="54"/>
      <c r="TYG32" s="54"/>
      <c r="TYH32" s="54"/>
      <c r="TYI32" s="58"/>
      <c r="TYJ32" s="58"/>
      <c r="TYK32" s="58"/>
      <c r="TYL32" s="58"/>
      <c r="TYM32" s="59"/>
      <c r="TYN32" s="60"/>
      <c r="TYO32" s="54"/>
      <c r="TYP32" s="54"/>
      <c r="TYQ32" s="36"/>
      <c r="TYR32" s="55"/>
      <c r="TYS32" s="54"/>
      <c r="TYT32" s="56"/>
      <c r="TYU32" s="57"/>
      <c r="TYV32" s="54"/>
      <c r="TYW32" s="54"/>
      <c r="TYX32" s="54"/>
      <c r="TYY32" s="58"/>
      <c r="TYZ32" s="58"/>
      <c r="TZA32" s="58"/>
      <c r="TZB32" s="58"/>
      <c r="TZC32" s="59"/>
      <c r="TZD32" s="60"/>
      <c r="TZE32" s="54"/>
      <c r="TZF32" s="54"/>
      <c r="TZG32" s="36"/>
      <c r="TZH32" s="55"/>
      <c r="TZI32" s="54"/>
      <c r="TZJ32" s="56"/>
      <c r="TZK32" s="57"/>
      <c r="TZL32" s="54"/>
      <c r="TZM32" s="54"/>
      <c r="TZN32" s="54"/>
      <c r="TZO32" s="58"/>
      <c r="TZP32" s="58"/>
      <c r="TZQ32" s="58"/>
      <c r="TZR32" s="58"/>
      <c r="TZS32" s="59"/>
      <c r="TZT32" s="60"/>
      <c r="TZU32" s="54"/>
      <c r="TZV32" s="54"/>
      <c r="TZW32" s="36"/>
      <c r="TZX32" s="55"/>
      <c r="TZY32" s="54"/>
      <c r="TZZ32" s="56"/>
      <c r="UAA32" s="57"/>
      <c r="UAB32" s="54"/>
      <c r="UAC32" s="54"/>
      <c r="UAD32" s="54"/>
      <c r="UAE32" s="58"/>
      <c r="UAF32" s="58"/>
      <c r="UAG32" s="58"/>
      <c r="UAH32" s="58"/>
      <c r="UAI32" s="59"/>
      <c r="UAJ32" s="60"/>
      <c r="UAK32" s="54"/>
      <c r="UAL32" s="54"/>
      <c r="UAM32" s="36"/>
      <c r="UAN32" s="55"/>
      <c r="UAO32" s="54"/>
      <c r="UAP32" s="56"/>
      <c r="UAQ32" s="57"/>
      <c r="UAR32" s="54"/>
      <c r="UAS32" s="54"/>
      <c r="UAT32" s="54"/>
      <c r="UAU32" s="58"/>
      <c r="UAV32" s="58"/>
      <c r="UAW32" s="58"/>
      <c r="UAX32" s="58"/>
      <c r="UAY32" s="59"/>
      <c r="UAZ32" s="60"/>
      <c r="UBA32" s="54"/>
      <c r="UBB32" s="54"/>
      <c r="UBC32" s="36"/>
      <c r="UBD32" s="55"/>
      <c r="UBE32" s="54"/>
      <c r="UBF32" s="56"/>
      <c r="UBG32" s="57"/>
      <c r="UBH32" s="54"/>
      <c r="UBI32" s="54"/>
      <c r="UBJ32" s="54"/>
      <c r="UBK32" s="58"/>
      <c r="UBL32" s="58"/>
      <c r="UBM32" s="58"/>
      <c r="UBN32" s="58"/>
      <c r="UBO32" s="59"/>
      <c r="UBP32" s="60"/>
      <c r="UBQ32" s="54"/>
      <c r="UBR32" s="54"/>
      <c r="UBS32" s="36"/>
      <c r="UBT32" s="55"/>
      <c r="UBU32" s="54"/>
      <c r="UBV32" s="56"/>
      <c r="UBW32" s="57"/>
      <c r="UBX32" s="54"/>
      <c r="UBY32" s="54"/>
      <c r="UBZ32" s="54"/>
      <c r="UCA32" s="58"/>
      <c r="UCB32" s="58"/>
      <c r="UCC32" s="58"/>
      <c r="UCD32" s="58"/>
      <c r="UCE32" s="59"/>
      <c r="UCF32" s="60"/>
      <c r="UCG32" s="54"/>
      <c r="UCH32" s="54"/>
      <c r="UCI32" s="36"/>
      <c r="UCJ32" s="55"/>
      <c r="UCK32" s="54"/>
      <c r="UCL32" s="56"/>
      <c r="UCM32" s="57"/>
      <c r="UCN32" s="54"/>
      <c r="UCO32" s="54"/>
      <c r="UCP32" s="54"/>
      <c r="UCQ32" s="58"/>
      <c r="UCR32" s="58"/>
      <c r="UCS32" s="58"/>
      <c r="UCT32" s="58"/>
      <c r="UCU32" s="59"/>
      <c r="UCV32" s="60"/>
      <c r="UCW32" s="54"/>
      <c r="UCX32" s="54"/>
      <c r="UCY32" s="36"/>
      <c r="UCZ32" s="55"/>
      <c r="UDA32" s="54"/>
      <c r="UDB32" s="56"/>
      <c r="UDC32" s="57"/>
      <c r="UDD32" s="54"/>
      <c r="UDE32" s="54"/>
      <c r="UDF32" s="54"/>
      <c r="UDG32" s="58"/>
      <c r="UDH32" s="58"/>
      <c r="UDI32" s="58"/>
      <c r="UDJ32" s="58"/>
      <c r="UDK32" s="59"/>
      <c r="UDL32" s="60"/>
      <c r="UDM32" s="54"/>
      <c r="UDN32" s="54"/>
      <c r="UDO32" s="36"/>
      <c r="UDP32" s="55"/>
      <c r="UDQ32" s="54"/>
      <c r="UDR32" s="56"/>
      <c r="UDS32" s="57"/>
      <c r="UDT32" s="54"/>
      <c r="UDU32" s="54"/>
      <c r="UDV32" s="54"/>
      <c r="UDW32" s="58"/>
      <c r="UDX32" s="58"/>
      <c r="UDY32" s="58"/>
      <c r="UDZ32" s="58"/>
      <c r="UEA32" s="59"/>
      <c r="UEB32" s="60"/>
      <c r="UEC32" s="54"/>
      <c r="UED32" s="54"/>
      <c r="UEE32" s="36"/>
      <c r="UEF32" s="55"/>
      <c r="UEG32" s="54"/>
      <c r="UEH32" s="56"/>
      <c r="UEI32" s="57"/>
      <c r="UEJ32" s="54"/>
      <c r="UEK32" s="54"/>
      <c r="UEL32" s="54"/>
      <c r="UEM32" s="58"/>
      <c r="UEN32" s="58"/>
      <c r="UEO32" s="58"/>
      <c r="UEP32" s="58"/>
      <c r="UEQ32" s="59"/>
      <c r="UER32" s="60"/>
      <c r="UES32" s="54"/>
      <c r="UET32" s="54"/>
      <c r="UEU32" s="36"/>
      <c r="UEV32" s="55"/>
      <c r="UEW32" s="54"/>
      <c r="UEX32" s="56"/>
      <c r="UEY32" s="57"/>
      <c r="UEZ32" s="54"/>
      <c r="UFA32" s="54"/>
      <c r="UFB32" s="54"/>
      <c r="UFC32" s="58"/>
      <c r="UFD32" s="58"/>
      <c r="UFE32" s="58"/>
      <c r="UFF32" s="58"/>
      <c r="UFG32" s="59"/>
      <c r="UFH32" s="60"/>
      <c r="UFI32" s="54"/>
      <c r="UFJ32" s="54"/>
      <c r="UFK32" s="36"/>
      <c r="UFL32" s="55"/>
      <c r="UFM32" s="54"/>
      <c r="UFN32" s="56"/>
      <c r="UFO32" s="57"/>
      <c r="UFP32" s="54"/>
      <c r="UFQ32" s="54"/>
      <c r="UFR32" s="54"/>
      <c r="UFS32" s="58"/>
      <c r="UFT32" s="58"/>
      <c r="UFU32" s="58"/>
      <c r="UFV32" s="58"/>
      <c r="UFW32" s="59"/>
      <c r="UFX32" s="60"/>
      <c r="UFY32" s="54"/>
      <c r="UFZ32" s="54"/>
      <c r="UGA32" s="36"/>
      <c r="UGB32" s="55"/>
      <c r="UGC32" s="54"/>
      <c r="UGD32" s="56"/>
      <c r="UGE32" s="57"/>
      <c r="UGF32" s="54"/>
      <c r="UGG32" s="54"/>
      <c r="UGH32" s="54"/>
      <c r="UGI32" s="58"/>
      <c r="UGJ32" s="58"/>
      <c r="UGK32" s="58"/>
      <c r="UGL32" s="58"/>
      <c r="UGM32" s="59"/>
      <c r="UGN32" s="60"/>
      <c r="UGO32" s="54"/>
      <c r="UGP32" s="54"/>
      <c r="UGQ32" s="36"/>
      <c r="UGR32" s="55"/>
      <c r="UGS32" s="54"/>
      <c r="UGT32" s="56"/>
      <c r="UGU32" s="57"/>
      <c r="UGV32" s="54"/>
      <c r="UGW32" s="54"/>
      <c r="UGX32" s="54"/>
      <c r="UGY32" s="58"/>
      <c r="UGZ32" s="58"/>
      <c r="UHA32" s="58"/>
      <c r="UHB32" s="58"/>
      <c r="UHC32" s="59"/>
      <c r="UHD32" s="60"/>
      <c r="UHE32" s="54"/>
      <c r="UHF32" s="54"/>
      <c r="UHG32" s="36"/>
      <c r="UHH32" s="55"/>
      <c r="UHI32" s="54"/>
      <c r="UHJ32" s="56"/>
      <c r="UHK32" s="57"/>
      <c r="UHL32" s="54"/>
      <c r="UHM32" s="54"/>
      <c r="UHN32" s="54"/>
      <c r="UHO32" s="58"/>
      <c r="UHP32" s="58"/>
      <c r="UHQ32" s="58"/>
      <c r="UHR32" s="58"/>
      <c r="UHS32" s="59"/>
      <c r="UHT32" s="60"/>
      <c r="UHU32" s="54"/>
      <c r="UHV32" s="54"/>
      <c r="UHW32" s="36"/>
      <c r="UHX32" s="55"/>
      <c r="UHY32" s="54"/>
      <c r="UHZ32" s="56"/>
      <c r="UIA32" s="57"/>
      <c r="UIB32" s="54"/>
      <c r="UIC32" s="54"/>
      <c r="UID32" s="54"/>
      <c r="UIE32" s="58"/>
      <c r="UIF32" s="58"/>
      <c r="UIG32" s="58"/>
      <c r="UIH32" s="58"/>
      <c r="UII32" s="59"/>
      <c r="UIJ32" s="60"/>
      <c r="UIK32" s="54"/>
      <c r="UIL32" s="54"/>
      <c r="UIM32" s="36"/>
      <c r="UIN32" s="55"/>
      <c r="UIO32" s="54"/>
      <c r="UIP32" s="56"/>
      <c r="UIQ32" s="57"/>
      <c r="UIR32" s="54"/>
      <c r="UIS32" s="54"/>
      <c r="UIT32" s="54"/>
      <c r="UIU32" s="58"/>
      <c r="UIV32" s="58"/>
      <c r="UIW32" s="58"/>
      <c r="UIX32" s="58"/>
      <c r="UIY32" s="59"/>
      <c r="UIZ32" s="60"/>
      <c r="UJA32" s="54"/>
      <c r="UJB32" s="54"/>
      <c r="UJC32" s="36"/>
      <c r="UJD32" s="55"/>
      <c r="UJE32" s="54"/>
      <c r="UJF32" s="56"/>
      <c r="UJG32" s="57"/>
      <c r="UJH32" s="54"/>
      <c r="UJI32" s="54"/>
      <c r="UJJ32" s="54"/>
      <c r="UJK32" s="58"/>
      <c r="UJL32" s="58"/>
      <c r="UJM32" s="58"/>
      <c r="UJN32" s="58"/>
      <c r="UJO32" s="59"/>
      <c r="UJP32" s="60"/>
      <c r="UJQ32" s="54"/>
      <c r="UJR32" s="54"/>
      <c r="UJS32" s="36"/>
      <c r="UJT32" s="55"/>
      <c r="UJU32" s="54"/>
      <c r="UJV32" s="56"/>
      <c r="UJW32" s="57"/>
      <c r="UJX32" s="54"/>
      <c r="UJY32" s="54"/>
      <c r="UJZ32" s="54"/>
      <c r="UKA32" s="58"/>
      <c r="UKB32" s="58"/>
      <c r="UKC32" s="58"/>
      <c r="UKD32" s="58"/>
      <c r="UKE32" s="59"/>
      <c r="UKF32" s="60"/>
      <c r="UKG32" s="54"/>
      <c r="UKH32" s="54"/>
      <c r="UKI32" s="36"/>
      <c r="UKJ32" s="55"/>
      <c r="UKK32" s="54"/>
      <c r="UKL32" s="56"/>
      <c r="UKM32" s="57"/>
      <c r="UKN32" s="54"/>
      <c r="UKO32" s="54"/>
      <c r="UKP32" s="54"/>
      <c r="UKQ32" s="58"/>
      <c r="UKR32" s="58"/>
      <c r="UKS32" s="58"/>
      <c r="UKT32" s="58"/>
      <c r="UKU32" s="59"/>
      <c r="UKV32" s="60"/>
      <c r="UKW32" s="54"/>
      <c r="UKX32" s="54"/>
      <c r="UKY32" s="36"/>
      <c r="UKZ32" s="55"/>
      <c r="ULA32" s="54"/>
      <c r="ULB32" s="56"/>
      <c r="ULC32" s="57"/>
      <c r="ULD32" s="54"/>
      <c r="ULE32" s="54"/>
      <c r="ULF32" s="54"/>
      <c r="ULG32" s="58"/>
      <c r="ULH32" s="58"/>
      <c r="ULI32" s="58"/>
      <c r="ULJ32" s="58"/>
      <c r="ULK32" s="59"/>
      <c r="ULL32" s="60"/>
      <c r="ULM32" s="54"/>
      <c r="ULN32" s="54"/>
      <c r="ULO32" s="36"/>
      <c r="ULP32" s="55"/>
      <c r="ULQ32" s="54"/>
      <c r="ULR32" s="56"/>
      <c r="ULS32" s="57"/>
      <c r="ULT32" s="54"/>
      <c r="ULU32" s="54"/>
      <c r="ULV32" s="54"/>
      <c r="ULW32" s="58"/>
      <c r="ULX32" s="58"/>
      <c r="ULY32" s="58"/>
      <c r="ULZ32" s="58"/>
      <c r="UMA32" s="59"/>
      <c r="UMB32" s="60"/>
      <c r="UMC32" s="54"/>
      <c r="UMD32" s="54"/>
      <c r="UME32" s="36"/>
      <c r="UMF32" s="55"/>
      <c r="UMG32" s="54"/>
      <c r="UMH32" s="56"/>
      <c r="UMI32" s="57"/>
      <c r="UMJ32" s="54"/>
      <c r="UMK32" s="54"/>
      <c r="UML32" s="54"/>
      <c r="UMM32" s="58"/>
      <c r="UMN32" s="58"/>
      <c r="UMO32" s="58"/>
      <c r="UMP32" s="58"/>
      <c r="UMQ32" s="59"/>
      <c r="UMR32" s="60"/>
      <c r="UMS32" s="54"/>
      <c r="UMT32" s="54"/>
      <c r="UMU32" s="36"/>
      <c r="UMV32" s="55"/>
      <c r="UMW32" s="54"/>
      <c r="UMX32" s="56"/>
      <c r="UMY32" s="57"/>
      <c r="UMZ32" s="54"/>
      <c r="UNA32" s="54"/>
      <c r="UNB32" s="54"/>
      <c r="UNC32" s="58"/>
      <c r="UND32" s="58"/>
      <c r="UNE32" s="58"/>
      <c r="UNF32" s="58"/>
      <c r="UNG32" s="59"/>
      <c r="UNH32" s="60"/>
      <c r="UNI32" s="54"/>
      <c r="UNJ32" s="54"/>
      <c r="UNK32" s="36"/>
      <c r="UNL32" s="55"/>
      <c r="UNM32" s="54"/>
      <c r="UNN32" s="56"/>
      <c r="UNO32" s="57"/>
      <c r="UNP32" s="54"/>
      <c r="UNQ32" s="54"/>
      <c r="UNR32" s="54"/>
      <c r="UNS32" s="58"/>
      <c r="UNT32" s="58"/>
      <c r="UNU32" s="58"/>
      <c r="UNV32" s="58"/>
      <c r="UNW32" s="59"/>
      <c r="UNX32" s="60"/>
      <c r="UNY32" s="54"/>
      <c r="UNZ32" s="54"/>
      <c r="UOA32" s="36"/>
      <c r="UOB32" s="55"/>
      <c r="UOC32" s="54"/>
      <c r="UOD32" s="56"/>
      <c r="UOE32" s="57"/>
      <c r="UOF32" s="54"/>
      <c r="UOG32" s="54"/>
      <c r="UOH32" s="54"/>
      <c r="UOI32" s="58"/>
      <c r="UOJ32" s="58"/>
      <c r="UOK32" s="58"/>
      <c r="UOL32" s="58"/>
      <c r="UOM32" s="59"/>
      <c r="UON32" s="60"/>
      <c r="UOO32" s="54"/>
      <c r="UOP32" s="54"/>
      <c r="UOQ32" s="36"/>
      <c r="UOR32" s="55"/>
      <c r="UOS32" s="54"/>
      <c r="UOT32" s="56"/>
      <c r="UOU32" s="57"/>
      <c r="UOV32" s="54"/>
      <c r="UOW32" s="54"/>
      <c r="UOX32" s="54"/>
      <c r="UOY32" s="58"/>
      <c r="UOZ32" s="58"/>
      <c r="UPA32" s="58"/>
      <c r="UPB32" s="58"/>
      <c r="UPC32" s="59"/>
      <c r="UPD32" s="60"/>
      <c r="UPE32" s="54"/>
      <c r="UPF32" s="54"/>
      <c r="UPG32" s="36"/>
      <c r="UPH32" s="55"/>
      <c r="UPI32" s="54"/>
      <c r="UPJ32" s="56"/>
      <c r="UPK32" s="57"/>
      <c r="UPL32" s="54"/>
      <c r="UPM32" s="54"/>
      <c r="UPN32" s="54"/>
      <c r="UPO32" s="58"/>
      <c r="UPP32" s="58"/>
      <c r="UPQ32" s="58"/>
      <c r="UPR32" s="58"/>
      <c r="UPS32" s="59"/>
      <c r="UPT32" s="60"/>
      <c r="UPU32" s="54"/>
      <c r="UPV32" s="54"/>
      <c r="UPW32" s="36"/>
      <c r="UPX32" s="55"/>
      <c r="UPY32" s="54"/>
      <c r="UPZ32" s="56"/>
      <c r="UQA32" s="57"/>
      <c r="UQB32" s="54"/>
      <c r="UQC32" s="54"/>
      <c r="UQD32" s="54"/>
      <c r="UQE32" s="58"/>
      <c r="UQF32" s="58"/>
      <c r="UQG32" s="58"/>
      <c r="UQH32" s="58"/>
      <c r="UQI32" s="59"/>
      <c r="UQJ32" s="60"/>
      <c r="UQK32" s="54"/>
      <c r="UQL32" s="54"/>
      <c r="UQM32" s="36"/>
      <c r="UQN32" s="55"/>
      <c r="UQO32" s="54"/>
      <c r="UQP32" s="56"/>
      <c r="UQQ32" s="57"/>
      <c r="UQR32" s="54"/>
      <c r="UQS32" s="54"/>
      <c r="UQT32" s="54"/>
      <c r="UQU32" s="58"/>
      <c r="UQV32" s="58"/>
      <c r="UQW32" s="58"/>
      <c r="UQX32" s="58"/>
      <c r="UQY32" s="59"/>
      <c r="UQZ32" s="60"/>
      <c r="URA32" s="54"/>
      <c r="URB32" s="54"/>
      <c r="URC32" s="36"/>
      <c r="URD32" s="55"/>
      <c r="URE32" s="54"/>
      <c r="URF32" s="56"/>
      <c r="URG32" s="57"/>
      <c r="URH32" s="54"/>
      <c r="URI32" s="54"/>
      <c r="URJ32" s="54"/>
      <c r="URK32" s="58"/>
      <c r="URL32" s="58"/>
      <c r="URM32" s="58"/>
      <c r="URN32" s="58"/>
      <c r="URO32" s="59"/>
      <c r="URP32" s="60"/>
      <c r="URQ32" s="54"/>
      <c r="URR32" s="54"/>
      <c r="URS32" s="36"/>
      <c r="URT32" s="55"/>
      <c r="URU32" s="54"/>
      <c r="URV32" s="56"/>
      <c r="URW32" s="57"/>
      <c r="URX32" s="54"/>
      <c r="URY32" s="54"/>
      <c r="URZ32" s="54"/>
      <c r="USA32" s="58"/>
      <c r="USB32" s="58"/>
      <c r="USC32" s="58"/>
      <c r="USD32" s="58"/>
      <c r="USE32" s="59"/>
      <c r="USF32" s="60"/>
      <c r="USG32" s="54"/>
      <c r="USH32" s="54"/>
      <c r="USI32" s="36"/>
      <c r="USJ32" s="55"/>
      <c r="USK32" s="54"/>
      <c r="USL32" s="56"/>
      <c r="USM32" s="57"/>
      <c r="USN32" s="54"/>
      <c r="USO32" s="54"/>
      <c r="USP32" s="54"/>
      <c r="USQ32" s="58"/>
      <c r="USR32" s="58"/>
      <c r="USS32" s="58"/>
      <c r="UST32" s="58"/>
      <c r="USU32" s="59"/>
      <c r="USV32" s="60"/>
      <c r="USW32" s="54"/>
      <c r="USX32" s="54"/>
      <c r="USY32" s="36"/>
      <c r="USZ32" s="55"/>
      <c r="UTA32" s="54"/>
      <c r="UTB32" s="56"/>
      <c r="UTC32" s="57"/>
      <c r="UTD32" s="54"/>
      <c r="UTE32" s="54"/>
      <c r="UTF32" s="54"/>
      <c r="UTG32" s="58"/>
      <c r="UTH32" s="58"/>
      <c r="UTI32" s="58"/>
      <c r="UTJ32" s="58"/>
      <c r="UTK32" s="59"/>
      <c r="UTL32" s="60"/>
      <c r="UTM32" s="54"/>
      <c r="UTN32" s="54"/>
      <c r="UTO32" s="36"/>
      <c r="UTP32" s="55"/>
      <c r="UTQ32" s="54"/>
      <c r="UTR32" s="56"/>
      <c r="UTS32" s="57"/>
      <c r="UTT32" s="54"/>
      <c r="UTU32" s="54"/>
      <c r="UTV32" s="54"/>
      <c r="UTW32" s="58"/>
      <c r="UTX32" s="58"/>
      <c r="UTY32" s="58"/>
      <c r="UTZ32" s="58"/>
      <c r="UUA32" s="59"/>
      <c r="UUB32" s="60"/>
      <c r="UUC32" s="54"/>
      <c r="UUD32" s="54"/>
      <c r="UUE32" s="36"/>
      <c r="UUF32" s="55"/>
      <c r="UUG32" s="54"/>
      <c r="UUH32" s="56"/>
      <c r="UUI32" s="57"/>
      <c r="UUJ32" s="54"/>
      <c r="UUK32" s="54"/>
      <c r="UUL32" s="54"/>
      <c r="UUM32" s="58"/>
      <c r="UUN32" s="58"/>
      <c r="UUO32" s="58"/>
      <c r="UUP32" s="58"/>
      <c r="UUQ32" s="59"/>
      <c r="UUR32" s="60"/>
      <c r="UUS32" s="54"/>
      <c r="UUT32" s="54"/>
      <c r="UUU32" s="36"/>
      <c r="UUV32" s="55"/>
      <c r="UUW32" s="54"/>
      <c r="UUX32" s="56"/>
      <c r="UUY32" s="57"/>
      <c r="UUZ32" s="54"/>
      <c r="UVA32" s="54"/>
      <c r="UVB32" s="54"/>
      <c r="UVC32" s="58"/>
      <c r="UVD32" s="58"/>
      <c r="UVE32" s="58"/>
      <c r="UVF32" s="58"/>
      <c r="UVG32" s="59"/>
      <c r="UVH32" s="60"/>
      <c r="UVI32" s="54"/>
      <c r="UVJ32" s="54"/>
      <c r="UVK32" s="36"/>
      <c r="UVL32" s="55"/>
      <c r="UVM32" s="54"/>
      <c r="UVN32" s="56"/>
      <c r="UVO32" s="57"/>
      <c r="UVP32" s="54"/>
      <c r="UVQ32" s="54"/>
      <c r="UVR32" s="54"/>
      <c r="UVS32" s="58"/>
      <c r="UVT32" s="58"/>
      <c r="UVU32" s="58"/>
      <c r="UVV32" s="58"/>
      <c r="UVW32" s="59"/>
      <c r="UVX32" s="60"/>
      <c r="UVY32" s="54"/>
      <c r="UVZ32" s="54"/>
      <c r="UWA32" s="36"/>
      <c r="UWB32" s="55"/>
      <c r="UWC32" s="54"/>
      <c r="UWD32" s="56"/>
      <c r="UWE32" s="57"/>
      <c r="UWF32" s="54"/>
      <c r="UWG32" s="54"/>
      <c r="UWH32" s="54"/>
      <c r="UWI32" s="58"/>
      <c r="UWJ32" s="58"/>
      <c r="UWK32" s="58"/>
      <c r="UWL32" s="58"/>
      <c r="UWM32" s="59"/>
      <c r="UWN32" s="60"/>
      <c r="UWO32" s="54"/>
      <c r="UWP32" s="54"/>
      <c r="UWQ32" s="36"/>
      <c r="UWR32" s="55"/>
      <c r="UWS32" s="54"/>
      <c r="UWT32" s="56"/>
      <c r="UWU32" s="57"/>
      <c r="UWV32" s="54"/>
      <c r="UWW32" s="54"/>
      <c r="UWX32" s="54"/>
      <c r="UWY32" s="58"/>
      <c r="UWZ32" s="58"/>
      <c r="UXA32" s="58"/>
      <c r="UXB32" s="58"/>
      <c r="UXC32" s="59"/>
      <c r="UXD32" s="60"/>
      <c r="UXE32" s="54"/>
      <c r="UXF32" s="54"/>
      <c r="UXG32" s="36"/>
      <c r="UXH32" s="55"/>
      <c r="UXI32" s="54"/>
      <c r="UXJ32" s="56"/>
      <c r="UXK32" s="57"/>
      <c r="UXL32" s="54"/>
      <c r="UXM32" s="54"/>
      <c r="UXN32" s="54"/>
      <c r="UXO32" s="58"/>
      <c r="UXP32" s="58"/>
      <c r="UXQ32" s="58"/>
      <c r="UXR32" s="58"/>
      <c r="UXS32" s="59"/>
      <c r="UXT32" s="60"/>
      <c r="UXU32" s="54"/>
      <c r="UXV32" s="54"/>
      <c r="UXW32" s="36"/>
      <c r="UXX32" s="55"/>
      <c r="UXY32" s="54"/>
      <c r="UXZ32" s="56"/>
      <c r="UYA32" s="57"/>
      <c r="UYB32" s="54"/>
      <c r="UYC32" s="54"/>
      <c r="UYD32" s="54"/>
      <c r="UYE32" s="58"/>
      <c r="UYF32" s="58"/>
      <c r="UYG32" s="58"/>
      <c r="UYH32" s="58"/>
      <c r="UYI32" s="59"/>
      <c r="UYJ32" s="60"/>
      <c r="UYK32" s="54"/>
      <c r="UYL32" s="54"/>
      <c r="UYM32" s="36"/>
      <c r="UYN32" s="55"/>
      <c r="UYO32" s="54"/>
      <c r="UYP32" s="56"/>
      <c r="UYQ32" s="57"/>
      <c r="UYR32" s="54"/>
      <c r="UYS32" s="54"/>
      <c r="UYT32" s="54"/>
      <c r="UYU32" s="58"/>
      <c r="UYV32" s="58"/>
      <c r="UYW32" s="58"/>
      <c r="UYX32" s="58"/>
      <c r="UYY32" s="59"/>
      <c r="UYZ32" s="60"/>
      <c r="UZA32" s="54"/>
      <c r="UZB32" s="54"/>
      <c r="UZC32" s="36"/>
      <c r="UZD32" s="55"/>
      <c r="UZE32" s="54"/>
      <c r="UZF32" s="56"/>
      <c r="UZG32" s="57"/>
      <c r="UZH32" s="54"/>
      <c r="UZI32" s="54"/>
      <c r="UZJ32" s="54"/>
      <c r="UZK32" s="58"/>
      <c r="UZL32" s="58"/>
      <c r="UZM32" s="58"/>
      <c r="UZN32" s="58"/>
      <c r="UZO32" s="59"/>
      <c r="UZP32" s="60"/>
      <c r="UZQ32" s="54"/>
      <c r="UZR32" s="54"/>
      <c r="UZS32" s="36"/>
      <c r="UZT32" s="55"/>
      <c r="UZU32" s="54"/>
      <c r="UZV32" s="56"/>
      <c r="UZW32" s="57"/>
      <c r="UZX32" s="54"/>
      <c r="UZY32" s="54"/>
      <c r="UZZ32" s="54"/>
      <c r="VAA32" s="58"/>
      <c r="VAB32" s="58"/>
      <c r="VAC32" s="58"/>
      <c r="VAD32" s="58"/>
      <c r="VAE32" s="59"/>
      <c r="VAF32" s="60"/>
      <c r="VAG32" s="54"/>
      <c r="VAH32" s="54"/>
      <c r="VAI32" s="36"/>
      <c r="VAJ32" s="55"/>
      <c r="VAK32" s="54"/>
      <c r="VAL32" s="56"/>
      <c r="VAM32" s="57"/>
      <c r="VAN32" s="54"/>
      <c r="VAO32" s="54"/>
      <c r="VAP32" s="54"/>
      <c r="VAQ32" s="58"/>
      <c r="VAR32" s="58"/>
      <c r="VAS32" s="58"/>
      <c r="VAT32" s="58"/>
      <c r="VAU32" s="59"/>
      <c r="VAV32" s="60"/>
      <c r="VAW32" s="54"/>
      <c r="VAX32" s="54"/>
      <c r="VAY32" s="36"/>
      <c r="VAZ32" s="55"/>
      <c r="VBA32" s="54"/>
      <c r="VBB32" s="56"/>
      <c r="VBC32" s="57"/>
      <c r="VBD32" s="54"/>
      <c r="VBE32" s="54"/>
      <c r="VBF32" s="54"/>
      <c r="VBG32" s="58"/>
      <c r="VBH32" s="58"/>
      <c r="VBI32" s="58"/>
      <c r="VBJ32" s="58"/>
      <c r="VBK32" s="59"/>
      <c r="VBL32" s="60"/>
      <c r="VBM32" s="54"/>
      <c r="VBN32" s="54"/>
      <c r="VBO32" s="36"/>
      <c r="VBP32" s="55"/>
      <c r="VBQ32" s="54"/>
      <c r="VBR32" s="56"/>
      <c r="VBS32" s="57"/>
      <c r="VBT32" s="54"/>
      <c r="VBU32" s="54"/>
      <c r="VBV32" s="54"/>
      <c r="VBW32" s="58"/>
      <c r="VBX32" s="58"/>
      <c r="VBY32" s="58"/>
      <c r="VBZ32" s="58"/>
      <c r="VCA32" s="59"/>
      <c r="VCB32" s="60"/>
      <c r="VCC32" s="54"/>
      <c r="VCD32" s="54"/>
      <c r="VCE32" s="36"/>
      <c r="VCF32" s="55"/>
      <c r="VCG32" s="54"/>
      <c r="VCH32" s="56"/>
      <c r="VCI32" s="57"/>
      <c r="VCJ32" s="54"/>
      <c r="VCK32" s="54"/>
      <c r="VCL32" s="54"/>
      <c r="VCM32" s="58"/>
      <c r="VCN32" s="58"/>
      <c r="VCO32" s="58"/>
      <c r="VCP32" s="58"/>
      <c r="VCQ32" s="59"/>
      <c r="VCR32" s="60"/>
      <c r="VCS32" s="54"/>
      <c r="VCT32" s="54"/>
      <c r="VCU32" s="36"/>
      <c r="VCV32" s="55"/>
      <c r="VCW32" s="54"/>
      <c r="VCX32" s="56"/>
      <c r="VCY32" s="57"/>
      <c r="VCZ32" s="54"/>
      <c r="VDA32" s="54"/>
      <c r="VDB32" s="54"/>
      <c r="VDC32" s="58"/>
      <c r="VDD32" s="58"/>
      <c r="VDE32" s="58"/>
      <c r="VDF32" s="58"/>
      <c r="VDG32" s="59"/>
      <c r="VDH32" s="60"/>
      <c r="VDI32" s="54"/>
      <c r="VDJ32" s="54"/>
      <c r="VDK32" s="36"/>
      <c r="VDL32" s="55"/>
      <c r="VDM32" s="54"/>
      <c r="VDN32" s="56"/>
      <c r="VDO32" s="57"/>
      <c r="VDP32" s="54"/>
      <c r="VDQ32" s="54"/>
      <c r="VDR32" s="54"/>
      <c r="VDS32" s="58"/>
      <c r="VDT32" s="58"/>
      <c r="VDU32" s="58"/>
      <c r="VDV32" s="58"/>
      <c r="VDW32" s="59"/>
      <c r="VDX32" s="60"/>
      <c r="VDY32" s="54"/>
      <c r="VDZ32" s="54"/>
      <c r="VEA32" s="36"/>
      <c r="VEB32" s="55"/>
      <c r="VEC32" s="54"/>
      <c r="VED32" s="56"/>
      <c r="VEE32" s="57"/>
      <c r="VEF32" s="54"/>
      <c r="VEG32" s="54"/>
      <c r="VEH32" s="54"/>
      <c r="VEI32" s="58"/>
      <c r="VEJ32" s="58"/>
      <c r="VEK32" s="58"/>
      <c r="VEL32" s="58"/>
      <c r="VEM32" s="59"/>
      <c r="VEN32" s="60"/>
      <c r="VEO32" s="54"/>
      <c r="VEP32" s="54"/>
      <c r="VEQ32" s="36"/>
      <c r="VER32" s="55"/>
      <c r="VES32" s="54"/>
      <c r="VET32" s="56"/>
      <c r="VEU32" s="57"/>
      <c r="VEV32" s="54"/>
      <c r="VEW32" s="54"/>
      <c r="VEX32" s="54"/>
      <c r="VEY32" s="58"/>
      <c r="VEZ32" s="58"/>
      <c r="VFA32" s="58"/>
      <c r="VFB32" s="58"/>
      <c r="VFC32" s="59"/>
      <c r="VFD32" s="60"/>
      <c r="VFE32" s="54"/>
      <c r="VFF32" s="54"/>
      <c r="VFG32" s="36"/>
      <c r="VFH32" s="55"/>
      <c r="VFI32" s="54"/>
      <c r="VFJ32" s="56"/>
      <c r="VFK32" s="57"/>
      <c r="VFL32" s="54"/>
      <c r="VFM32" s="54"/>
      <c r="VFN32" s="54"/>
      <c r="VFO32" s="58"/>
      <c r="VFP32" s="58"/>
      <c r="VFQ32" s="58"/>
      <c r="VFR32" s="58"/>
      <c r="VFS32" s="59"/>
      <c r="VFT32" s="60"/>
      <c r="VFU32" s="54"/>
      <c r="VFV32" s="54"/>
      <c r="VFW32" s="36"/>
      <c r="VFX32" s="55"/>
      <c r="VFY32" s="54"/>
      <c r="VFZ32" s="56"/>
      <c r="VGA32" s="57"/>
      <c r="VGB32" s="54"/>
      <c r="VGC32" s="54"/>
      <c r="VGD32" s="54"/>
      <c r="VGE32" s="58"/>
      <c r="VGF32" s="58"/>
      <c r="VGG32" s="58"/>
      <c r="VGH32" s="58"/>
      <c r="VGI32" s="59"/>
      <c r="VGJ32" s="60"/>
      <c r="VGK32" s="54"/>
      <c r="VGL32" s="54"/>
      <c r="VGM32" s="36"/>
      <c r="VGN32" s="55"/>
      <c r="VGO32" s="54"/>
      <c r="VGP32" s="56"/>
      <c r="VGQ32" s="57"/>
      <c r="VGR32" s="54"/>
      <c r="VGS32" s="54"/>
      <c r="VGT32" s="54"/>
      <c r="VGU32" s="58"/>
      <c r="VGV32" s="58"/>
      <c r="VGW32" s="58"/>
      <c r="VGX32" s="58"/>
      <c r="VGY32" s="59"/>
      <c r="VGZ32" s="60"/>
      <c r="VHA32" s="54"/>
      <c r="VHB32" s="54"/>
      <c r="VHC32" s="36"/>
      <c r="VHD32" s="55"/>
      <c r="VHE32" s="54"/>
      <c r="VHF32" s="56"/>
      <c r="VHG32" s="57"/>
      <c r="VHH32" s="54"/>
      <c r="VHI32" s="54"/>
      <c r="VHJ32" s="54"/>
      <c r="VHK32" s="58"/>
      <c r="VHL32" s="58"/>
      <c r="VHM32" s="58"/>
      <c r="VHN32" s="58"/>
      <c r="VHO32" s="59"/>
      <c r="VHP32" s="60"/>
      <c r="VHQ32" s="54"/>
      <c r="VHR32" s="54"/>
      <c r="VHS32" s="36"/>
      <c r="VHT32" s="55"/>
      <c r="VHU32" s="54"/>
      <c r="VHV32" s="56"/>
      <c r="VHW32" s="57"/>
      <c r="VHX32" s="54"/>
      <c r="VHY32" s="54"/>
      <c r="VHZ32" s="54"/>
      <c r="VIA32" s="58"/>
      <c r="VIB32" s="58"/>
      <c r="VIC32" s="58"/>
      <c r="VID32" s="58"/>
      <c r="VIE32" s="59"/>
      <c r="VIF32" s="60"/>
      <c r="VIG32" s="54"/>
      <c r="VIH32" s="54"/>
      <c r="VII32" s="36"/>
      <c r="VIJ32" s="55"/>
      <c r="VIK32" s="54"/>
      <c r="VIL32" s="56"/>
      <c r="VIM32" s="57"/>
      <c r="VIN32" s="54"/>
      <c r="VIO32" s="54"/>
      <c r="VIP32" s="54"/>
      <c r="VIQ32" s="58"/>
      <c r="VIR32" s="58"/>
      <c r="VIS32" s="58"/>
      <c r="VIT32" s="58"/>
      <c r="VIU32" s="59"/>
      <c r="VIV32" s="60"/>
      <c r="VIW32" s="54"/>
      <c r="VIX32" s="54"/>
      <c r="VIY32" s="36"/>
      <c r="VIZ32" s="55"/>
      <c r="VJA32" s="54"/>
      <c r="VJB32" s="56"/>
      <c r="VJC32" s="57"/>
      <c r="VJD32" s="54"/>
      <c r="VJE32" s="54"/>
      <c r="VJF32" s="54"/>
      <c r="VJG32" s="58"/>
      <c r="VJH32" s="58"/>
      <c r="VJI32" s="58"/>
      <c r="VJJ32" s="58"/>
      <c r="VJK32" s="59"/>
      <c r="VJL32" s="60"/>
      <c r="VJM32" s="54"/>
      <c r="VJN32" s="54"/>
      <c r="VJO32" s="36"/>
      <c r="VJP32" s="55"/>
      <c r="VJQ32" s="54"/>
      <c r="VJR32" s="56"/>
      <c r="VJS32" s="57"/>
      <c r="VJT32" s="54"/>
      <c r="VJU32" s="54"/>
      <c r="VJV32" s="54"/>
      <c r="VJW32" s="58"/>
      <c r="VJX32" s="58"/>
      <c r="VJY32" s="58"/>
      <c r="VJZ32" s="58"/>
      <c r="VKA32" s="59"/>
      <c r="VKB32" s="60"/>
      <c r="VKC32" s="54"/>
      <c r="VKD32" s="54"/>
      <c r="VKE32" s="36"/>
      <c r="VKF32" s="55"/>
      <c r="VKG32" s="54"/>
      <c r="VKH32" s="56"/>
      <c r="VKI32" s="57"/>
      <c r="VKJ32" s="54"/>
      <c r="VKK32" s="54"/>
      <c r="VKL32" s="54"/>
      <c r="VKM32" s="58"/>
      <c r="VKN32" s="58"/>
      <c r="VKO32" s="58"/>
      <c r="VKP32" s="58"/>
      <c r="VKQ32" s="59"/>
      <c r="VKR32" s="60"/>
      <c r="VKS32" s="54"/>
      <c r="VKT32" s="54"/>
      <c r="VKU32" s="36"/>
      <c r="VKV32" s="55"/>
      <c r="VKW32" s="54"/>
      <c r="VKX32" s="56"/>
      <c r="VKY32" s="57"/>
      <c r="VKZ32" s="54"/>
      <c r="VLA32" s="54"/>
      <c r="VLB32" s="54"/>
      <c r="VLC32" s="58"/>
      <c r="VLD32" s="58"/>
      <c r="VLE32" s="58"/>
      <c r="VLF32" s="58"/>
      <c r="VLG32" s="59"/>
      <c r="VLH32" s="60"/>
      <c r="VLI32" s="54"/>
      <c r="VLJ32" s="54"/>
      <c r="VLK32" s="36"/>
      <c r="VLL32" s="55"/>
      <c r="VLM32" s="54"/>
      <c r="VLN32" s="56"/>
      <c r="VLO32" s="57"/>
      <c r="VLP32" s="54"/>
      <c r="VLQ32" s="54"/>
      <c r="VLR32" s="54"/>
      <c r="VLS32" s="58"/>
      <c r="VLT32" s="58"/>
      <c r="VLU32" s="58"/>
      <c r="VLV32" s="58"/>
      <c r="VLW32" s="59"/>
      <c r="VLX32" s="60"/>
      <c r="VLY32" s="54"/>
      <c r="VLZ32" s="54"/>
      <c r="VMA32" s="36"/>
      <c r="VMB32" s="55"/>
      <c r="VMC32" s="54"/>
      <c r="VMD32" s="56"/>
      <c r="VME32" s="57"/>
      <c r="VMF32" s="54"/>
      <c r="VMG32" s="54"/>
      <c r="VMH32" s="54"/>
      <c r="VMI32" s="58"/>
      <c r="VMJ32" s="58"/>
      <c r="VMK32" s="58"/>
      <c r="VML32" s="58"/>
      <c r="VMM32" s="59"/>
      <c r="VMN32" s="60"/>
      <c r="VMO32" s="54"/>
      <c r="VMP32" s="54"/>
      <c r="VMQ32" s="36"/>
      <c r="VMR32" s="55"/>
      <c r="VMS32" s="54"/>
      <c r="VMT32" s="56"/>
      <c r="VMU32" s="57"/>
      <c r="VMV32" s="54"/>
      <c r="VMW32" s="54"/>
      <c r="VMX32" s="54"/>
      <c r="VMY32" s="58"/>
      <c r="VMZ32" s="58"/>
      <c r="VNA32" s="58"/>
      <c r="VNB32" s="58"/>
      <c r="VNC32" s="59"/>
      <c r="VND32" s="60"/>
      <c r="VNE32" s="54"/>
      <c r="VNF32" s="54"/>
      <c r="VNG32" s="36"/>
      <c r="VNH32" s="55"/>
      <c r="VNI32" s="54"/>
      <c r="VNJ32" s="56"/>
      <c r="VNK32" s="57"/>
      <c r="VNL32" s="54"/>
      <c r="VNM32" s="54"/>
      <c r="VNN32" s="54"/>
      <c r="VNO32" s="58"/>
      <c r="VNP32" s="58"/>
      <c r="VNQ32" s="58"/>
      <c r="VNR32" s="58"/>
      <c r="VNS32" s="59"/>
      <c r="VNT32" s="60"/>
      <c r="VNU32" s="54"/>
      <c r="VNV32" s="54"/>
      <c r="VNW32" s="36"/>
      <c r="VNX32" s="55"/>
      <c r="VNY32" s="54"/>
      <c r="VNZ32" s="56"/>
      <c r="VOA32" s="57"/>
      <c r="VOB32" s="54"/>
      <c r="VOC32" s="54"/>
      <c r="VOD32" s="54"/>
      <c r="VOE32" s="58"/>
      <c r="VOF32" s="58"/>
      <c r="VOG32" s="58"/>
      <c r="VOH32" s="58"/>
      <c r="VOI32" s="59"/>
      <c r="VOJ32" s="60"/>
      <c r="VOK32" s="54"/>
      <c r="VOL32" s="54"/>
      <c r="VOM32" s="36"/>
      <c r="VON32" s="55"/>
      <c r="VOO32" s="54"/>
      <c r="VOP32" s="56"/>
      <c r="VOQ32" s="57"/>
      <c r="VOR32" s="54"/>
      <c r="VOS32" s="54"/>
      <c r="VOT32" s="54"/>
      <c r="VOU32" s="58"/>
      <c r="VOV32" s="58"/>
      <c r="VOW32" s="58"/>
      <c r="VOX32" s="58"/>
      <c r="VOY32" s="59"/>
      <c r="VOZ32" s="60"/>
      <c r="VPA32" s="54"/>
      <c r="VPB32" s="54"/>
      <c r="VPC32" s="36"/>
      <c r="VPD32" s="55"/>
      <c r="VPE32" s="54"/>
      <c r="VPF32" s="56"/>
      <c r="VPG32" s="57"/>
      <c r="VPH32" s="54"/>
      <c r="VPI32" s="54"/>
      <c r="VPJ32" s="54"/>
      <c r="VPK32" s="58"/>
      <c r="VPL32" s="58"/>
      <c r="VPM32" s="58"/>
      <c r="VPN32" s="58"/>
      <c r="VPO32" s="59"/>
      <c r="VPP32" s="60"/>
      <c r="VPQ32" s="54"/>
      <c r="VPR32" s="54"/>
      <c r="VPS32" s="36"/>
      <c r="VPT32" s="55"/>
      <c r="VPU32" s="54"/>
      <c r="VPV32" s="56"/>
      <c r="VPW32" s="57"/>
      <c r="VPX32" s="54"/>
      <c r="VPY32" s="54"/>
      <c r="VPZ32" s="54"/>
      <c r="VQA32" s="58"/>
      <c r="VQB32" s="58"/>
      <c r="VQC32" s="58"/>
      <c r="VQD32" s="58"/>
      <c r="VQE32" s="59"/>
      <c r="VQF32" s="60"/>
      <c r="VQG32" s="54"/>
      <c r="VQH32" s="54"/>
      <c r="VQI32" s="36"/>
      <c r="VQJ32" s="55"/>
      <c r="VQK32" s="54"/>
      <c r="VQL32" s="56"/>
      <c r="VQM32" s="57"/>
      <c r="VQN32" s="54"/>
      <c r="VQO32" s="54"/>
      <c r="VQP32" s="54"/>
      <c r="VQQ32" s="58"/>
      <c r="VQR32" s="58"/>
      <c r="VQS32" s="58"/>
      <c r="VQT32" s="58"/>
      <c r="VQU32" s="59"/>
      <c r="VQV32" s="60"/>
      <c r="VQW32" s="54"/>
      <c r="VQX32" s="54"/>
      <c r="VQY32" s="36"/>
      <c r="VQZ32" s="55"/>
      <c r="VRA32" s="54"/>
      <c r="VRB32" s="56"/>
      <c r="VRC32" s="57"/>
      <c r="VRD32" s="54"/>
      <c r="VRE32" s="54"/>
      <c r="VRF32" s="54"/>
      <c r="VRG32" s="58"/>
      <c r="VRH32" s="58"/>
      <c r="VRI32" s="58"/>
      <c r="VRJ32" s="58"/>
      <c r="VRK32" s="59"/>
      <c r="VRL32" s="60"/>
      <c r="VRM32" s="54"/>
      <c r="VRN32" s="54"/>
      <c r="VRO32" s="36"/>
      <c r="VRP32" s="55"/>
      <c r="VRQ32" s="54"/>
      <c r="VRR32" s="56"/>
      <c r="VRS32" s="57"/>
      <c r="VRT32" s="54"/>
      <c r="VRU32" s="54"/>
      <c r="VRV32" s="54"/>
      <c r="VRW32" s="58"/>
      <c r="VRX32" s="58"/>
      <c r="VRY32" s="58"/>
      <c r="VRZ32" s="58"/>
      <c r="VSA32" s="59"/>
      <c r="VSB32" s="60"/>
      <c r="VSC32" s="54"/>
      <c r="VSD32" s="54"/>
      <c r="VSE32" s="36"/>
      <c r="VSF32" s="55"/>
      <c r="VSG32" s="54"/>
      <c r="VSH32" s="56"/>
      <c r="VSI32" s="57"/>
      <c r="VSJ32" s="54"/>
      <c r="VSK32" s="54"/>
      <c r="VSL32" s="54"/>
      <c r="VSM32" s="58"/>
      <c r="VSN32" s="58"/>
      <c r="VSO32" s="58"/>
      <c r="VSP32" s="58"/>
      <c r="VSQ32" s="59"/>
      <c r="VSR32" s="60"/>
      <c r="VSS32" s="54"/>
      <c r="VST32" s="54"/>
      <c r="VSU32" s="36"/>
      <c r="VSV32" s="55"/>
      <c r="VSW32" s="54"/>
      <c r="VSX32" s="56"/>
      <c r="VSY32" s="57"/>
      <c r="VSZ32" s="54"/>
      <c r="VTA32" s="54"/>
      <c r="VTB32" s="54"/>
      <c r="VTC32" s="58"/>
      <c r="VTD32" s="58"/>
      <c r="VTE32" s="58"/>
      <c r="VTF32" s="58"/>
      <c r="VTG32" s="59"/>
      <c r="VTH32" s="60"/>
      <c r="VTI32" s="54"/>
      <c r="VTJ32" s="54"/>
      <c r="VTK32" s="36"/>
      <c r="VTL32" s="55"/>
      <c r="VTM32" s="54"/>
      <c r="VTN32" s="56"/>
      <c r="VTO32" s="57"/>
      <c r="VTP32" s="54"/>
      <c r="VTQ32" s="54"/>
      <c r="VTR32" s="54"/>
      <c r="VTS32" s="58"/>
      <c r="VTT32" s="58"/>
      <c r="VTU32" s="58"/>
      <c r="VTV32" s="58"/>
      <c r="VTW32" s="59"/>
      <c r="VTX32" s="60"/>
      <c r="VTY32" s="54"/>
      <c r="VTZ32" s="54"/>
      <c r="VUA32" s="36"/>
      <c r="VUB32" s="55"/>
      <c r="VUC32" s="54"/>
      <c r="VUD32" s="56"/>
      <c r="VUE32" s="57"/>
      <c r="VUF32" s="54"/>
      <c r="VUG32" s="54"/>
      <c r="VUH32" s="54"/>
      <c r="VUI32" s="58"/>
      <c r="VUJ32" s="58"/>
      <c r="VUK32" s="58"/>
      <c r="VUL32" s="58"/>
      <c r="VUM32" s="59"/>
      <c r="VUN32" s="60"/>
      <c r="VUO32" s="54"/>
      <c r="VUP32" s="54"/>
      <c r="VUQ32" s="36"/>
      <c r="VUR32" s="55"/>
      <c r="VUS32" s="54"/>
      <c r="VUT32" s="56"/>
      <c r="VUU32" s="57"/>
      <c r="VUV32" s="54"/>
      <c r="VUW32" s="54"/>
      <c r="VUX32" s="54"/>
      <c r="VUY32" s="58"/>
      <c r="VUZ32" s="58"/>
      <c r="VVA32" s="58"/>
      <c r="VVB32" s="58"/>
      <c r="VVC32" s="59"/>
      <c r="VVD32" s="60"/>
      <c r="VVE32" s="54"/>
      <c r="VVF32" s="54"/>
      <c r="VVG32" s="36"/>
      <c r="VVH32" s="55"/>
      <c r="VVI32" s="54"/>
      <c r="VVJ32" s="56"/>
      <c r="VVK32" s="57"/>
      <c r="VVL32" s="54"/>
      <c r="VVM32" s="54"/>
      <c r="VVN32" s="54"/>
      <c r="VVO32" s="58"/>
      <c r="VVP32" s="58"/>
      <c r="VVQ32" s="58"/>
      <c r="VVR32" s="58"/>
      <c r="VVS32" s="59"/>
      <c r="VVT32" s="60"/>
      <c r="VVU32" s="54"/>
      <c r="VVV32" s="54"/>
      <c r="VVW32" s="36"/>
      <c r="VVX32" s="55"/>
      <c r="VVY32" s="54"/>
      <c r="VVZ32" s="56"/>
      <c r="VWA32" s="57"/>
      <c r="VWB32" s="54"/>
      <c r="VWC32" s="54"/>
      <c r="VWD32" s="54"/>
      <c r="VWE32" s="58"/>
      <c r="VWF32" s="58"/>
      <c r="VWG32" s="58"/>
      <c r="VWH32" s="58"/>
      <c r="VWI32" s="59"/>
      <c r="VWJ32" s="60"/>
      <c r="VWK32" s="54"/>
      <c r="VWL32" s="54"/>
      <c r="VWM32" s="36"/>
      <c r="VWN32" s="55"/>
      <c r="VWO32" s="54"/>
      <c r="VWP32" s="56"/>
      <c r="VWQ32" s="57"/>
      <c r="VWR32" s="54"/>
      <c r="VWS32" s="54"/>
      <c r="VWT32" s="54"/>
      <c r="VWU32" s="58"/>
      <c r="VWV32" s="58"/>
      <c r="VWW32" s="58"/>
      <c r="VWX32" s="58"/>
      <c r="VWY32" s="59"/>
      <c r="VWZ32" s="60"/>
      <c r="VXA32" s="54"/>
      <c r="VXB32" s="54"/>
      <c r="VXC32" s="36"/>
      <c r="VXD32" s="55"/>
      <c r="VXE32" s="54"/>
      <c r="VXF32" s="56"/>
      <c r="VXG32" s="57"/>
      <c r="VXH32" s="54"/>
      <c r="VXI32" s="54"/>
      <c r="VXJ32" s="54"/>
      <c r="VXK32" s="58"/>
      <c r="VXL32" s="58"/>
      <c r="VXM32" s="58"/>
      <c r="VXN32" s="58"/>
      <c r="VXO32" s="59"/>
      <c r="VXP32" s="60"/>
      <c r="VXQ32" s="54"/>
      <c r="VXR32" s="54"/>
      <c r="VXS32" s="36"/>
      <c r="VXT32" s="55"/>
      <c r="VXU32" s="54"/>
      <c r="VXV32" s="56"/>
      <c r="VXW32" s="57"/>
      <c r="VXX32" s="54"/>
      <c r="VXY32" s="54"/>
      <c r="VXZ32" s="54"/>
      <c r="VYA32" s="58"/>
      <c r="VYB32" s="58"/>
      <c r="VYC32" s="58"/>
      <c r="VYD32" s="58"/>
      <c r="VYE32" s="59"/>
      <c r="VYF32" s="60"/>
      <c r="VYG32" s="54"/>
      <c r="VYH32" s="54"/>
      <c r="VYI32" s="36"/>
      <c r="VYJ32" s="55"/>
      <c r="VYK32" s="54"/>
      <c r="VYL32" s="56"/>
      <c r="VYM32" s="57"/>
      <c r="VYN32" s="54"/>
      <c r="VYO32" s="54"/>
      <c r="VYP32" s="54"/>
      <c r="VYQ32" s="58"/>
      <c r="VYR32" s="58"/>
      <c r="VYS32" s="58"/>
      <c r="VYT32" s="58"/>
      <c r="VYU32" s="59"/>
      <c r="VYV32" s="60"/>
      <c r="VYW32" s="54"/>
      <c r="VYX32" s="54"/>
      <c r="VYY32" s="36"/>
      <c r="VYZ32" s="55"/>
      <c r="VZA32" s="54"/>
      <c r="VZB32" s="56"/>
      <c r="VZC32" s="57"/>
      <c r="VZD32" s="54"/>
      <c r="VZE32" s="54"/>
      <c r="VZF32" s="54"/>
      <c r="VZG32" s="58"/>
      <c r="VZH32" s="58"/>
      <c r="VZI32" s="58"/>
      <c r="VZJ32" s="58"/>
      <c r="VZK32" s="59"/>
      <c r="VZL32" s="60"/>
      <c r="VZM32" s="54"/>
      <c r="VZN32" s="54"/>
      <c r="VZO32" s="36"/>
      <c r="VZP32" s="55"/>
      <c r="VZQ32" s="54"/>
      <c r="VZR32" s="56"/>
      <c r="VZS32" s="57"/>
      <c r="VZT32" s="54"/>
      <c r="VZU32" s="54"/>
      <c r="VZV32" s="54"/>
      <c r="VZW32" s="58"/>
      <c r="VZX32" s="58"/>
      <c r="VZY32" s="58"/>
      <c r="VZZ32" s="58"/>
      <c r="WAA32" s="59"/>
      <c r="WAB32" s="60"/>
      <c r="WAC32" s="54"/>
      <c r="WAD32" s="54"/>
      <c r="WAE32" s="36"/>
      <c r="WAF32" s="55"/>
      <c r="WAG32" s="54"/>
      <c r="WAH32" s="56"/>
      <c r="WAI32" s="57"/>
      <c r="WAJ32" s="54"/>
      <c r="WAK32" s="54"/>
      <c r="WAL32" s="54"/>
      <c r="WAM32" s="58"/>
      <c r="WAN32" s="58"/>
      <c r="WAO32" s="58"/>
      <c r="WAP32" s="58"/>
      <c r="WAQ32" s="59"/>
      <c r="WAR32" s="60"/>
      <c r="WAS32" s="54"/>
      <c r="WAT32" s="54"/>
      <c r="WAU32" s="36"/>
      <c r="WAV32" s="55"/>
      <c r="WAW32" s="54"/>
      <c r="WAX32" s="56"/>
      <c r="WAY32" s="57"/>
      <c r="WAZ32" s="54"/>
      <c r="WBA32" s="54"/>
      <c r="WBB32" s="54"/>
      <c r="WBC32" s="58"/>
      <c r="WBD32" s="58"/>
      <c r="WBE32" s="58"/>
      <c r="WBF32" s="58"/>
      <c r="WBG32" s="59"/>
      <c r="WBH32" s="60"/>
      <c r="WBI32" s="54"/>
      <c r="WBJ32" s="54"/>
      <c r="WBK32" s="36"/>
      <c r="WBL32" s="55"/>
      <c r="WBM32" s="54"/>
      <c r="WBN32" s="56"/>
      <c r="WBO32" s="57"/>
      <c r="WBP32" s="54"/>
      <c r="WBQ32" s="54"/>
      <c r="WBR32" s="54"/>
      <c r="WBS32" s="58"/>
      <c r="WBT32" s="58"/>
      <c r="WBU32" s="58"/>
      <c r="WBV32" s="58"/>
      <c r="WBW32" s="59"/>
      <c r="WBX32" s="60"/>
      <c r="WBY32" s="54"/>
      <c r="WBZ32" s="54"/>
      <c r="WCA32" s="36"/>
      <c r="WCB32" s="55"/>
      <c r="WCC32" s="54"/>
      <c r="WCD32" s="56"/>
      <c r="WCE32" s="57"/>
      <c r="WCF32" s="54"/>
      <c r="WCG32" s="54"/>
      <c r="WCH32" s="54"/>
      <c r="WCI32" s="58"/>
      <c r="WCJ32" s="58"/>
      <c r="WCK32" s="58"/>
      <c r="WCL32" s="58"/>
      <c r="WCM32" s="59"/>
      <c r="WCN32" s="60"/>
      <c r="WCO32" s="54"/>
      <c r="WCP32" s="54"/>
      <c r="WCQ32" s="36"/>
      <c r="WCR32" s="55"/>
      <c r="WCS32" s="54"/>
      <c r="WCT32" s="56"/>
      <c r="WCU32" s="57"/>
      <c r="WCV32" s="54"/>
      <c r="WCW32" s="54"/>
      <c r="WCX32" s="54"/>
      <c r="WCY32" s="58"/>
      <c r="WCZ32" s="58"/>
      <c r="WDA32" s="58"/>
      <c r="WDB32" s="58"/>
      <c r="WDC32" s="59"/>
      <c r="WDD32" s="60"/>
      <c r="WDE32" s="54"/>
      <c r="WDF32" s="54"/>
      <c r="WDG32" s="36"/>
      <c r="WDH32" s="55"/>
      <c r="WDI32" s="54"/>
      <c r="WDJ32" s="56"/>
      <c r="WDK32" s="57"/>
      <c r="WDL32" s="54"/>
      <c r="WDM32" s="54"/>
      <c r="WDN32" s="54"/>
      <c r="WDO32" s="58"/>
      <c r="WDP32" s="58"/>
      <c r="WDQ32" s="58"/>
      <c r="WDR32" s="58"/>
      <c r="WDS32" s="59"/>
      <c r="WDT32" s="60"/>
      <c r="WDU32" s="54"/>
      <c r="WDV32" s="54"/>
      <c r="WDW32" s="36"/>
      <c r="WDX32" s="55"/>
      <c r="WDY32" s="54"/>
      <c r="WDZ32" s="56"/>
      <c r="WEA32" s="57"/>
      <c r="WEB32" s="54"/>
      <c r="WEC32" s="54"/>
      <c r="WED32" s="54"/>
      <c r="WEE32" s="58"/>
      <c r="WEF32" s="58"/>
      <c r="WEG32" s="58"/>
      <c r="WEH32" s="58"/>
      <c r="WEI32" s="59"/>
      <c r="WEJ32" s="60"/>
      <c r="WEK32" s="54"/>
      <c r="WEL32" s="54"/>
      <c r="WEM32" s="36"/>
      <c r="WEN32" s="55"/>
      <c r="WEO32" s="54"/>
      <c r="WEP32" s="56"/>
      <c r="WEQ32" s="57"/>
      <c r="WER32" s="54"/>
      <c r="WES32" s="54"/>
      <c r="WET32" s="54"/>
      <c r="WEU32" s="58"/>
      <c r="WEV32" s="58"/>
      <c r="WEW32" s="58"/>
      <c r="WEX32" s="58"/>
      <c r="WEY32" s="59"/>
      <c r="WEZ32" s="60"/>
      <c r="WFA32" s="54"/>
      <c r="WFB32" s="54"/>
      <c r="WFC32" s="36"/>
      <c r="WFD32" s="55"/>
      <c r="WFE32" s="54"/>
      <c r="WFF32" s="56"/>
      <c r="WFG32" s="57"/>
      <c r="WFH32" s="54"/>
      <c r="WFI32" s="54"/>
      <c r="WFJ32" s="54"/>
      <c r="WFK32" s="58"/>
      <c r="WFL32" s="58"/>
      <c r="WFM32" s="58"/>
      <c r="WFN32" s="58"/>
      <c r="WFO32" s="59"/>
      <c r="WFP32" s="60"/>
      <c r="WFQ32" s="54"/>
      <c r="WFR32" s="54"/>
      <c r="WFS32" s="36"/>
      <c r="WFT32" s="55"/>
      <c r="WFU32" s="54"/>
      <c r="WFV32" s="56"/>
      <c r="WFW32" s="57"/>
      <c r="WFX32" s="54"/>
      <c r="WFY32" s="54"/>
      <c r="WFZ32" s="54"/>
      <c r="WGA32" s="58"/>
      <c r="WGB32" s="58"/>
      <c r="WGC32" s="58"/>
      <c r="WGD32" s="58"/>
      <c r="WGE32" s="59"/>
      <c r="WGF32" s="60"/>
      <c r="WGG32" s="54"/>
      <c r="WGH32" s="54"/>
      <c r="WGI32" s="36"/>
      <c r="WGJ32" s="55"/>
      <c r="WGK32" s="54"/>
      <c r="WGL32" s="56"/>
      <c r="WGM32" s="57"/>
      <c r="WGN32" s="54"/>
      <c r="WGO32" s="54"/>
      <c r="WGP32" s="54"/>
      <c r="WGQ32" s="58"/>
      <c r="WGR32" s="58"/>
      <c r="WGS32" s="58"/>
      <c r="WGT32" s="58"/>
      <c r="WGU32" s="59"/>
      <c r="WGV32" s="60"/>
      <c r="WGW32" s="54"/>
      <c r="WGX32" s="54"/>
      <c r="WGY32" s="36"/>
      <c r="WGZ32" s="55"/>
      <c r="WHA32" s="54"/>
      <c r="WHB32" s="56"/>
      <c r="WHC32" s="57"/>
      <c r="WHD32" s="54"/>
      <c r="WHE32" s="54"/>
      <c r="WHF32" s="54"/>
      <c r="WHG32" s="58"/>
      <c r="WHH32" s="58"/>
      <c r="WHI32" s="58"/>
      <c r="WHJ32" s="58"/>
      <c r="WHK32" s="59"/>
      <c r="WHL32" s="60"/>
      <c r="WHM32" s="54"/>
      <c r="WHN32" s="54"/>
      <c r="WHO32" s="36"/>
      <c r="WHP32" s="55"/>
      <c r="WHQ32" s="54"/>
      <c r="WHR32" s="56"/>
      <c r="WHS32" s="57"/>
      <c r="WHT32" s="54"/>
      <c r="WHU32" s="54"/>
      <c r="WHV32" s="54"/>
      <c r="WHW32" s="58"/>
      <c r="WHX32" s="58"/>
      <c r="WHY32" s="58"/>
      <c r="WHZ32" s="58"/>
      <c r="WIA32" s="59"/>
      <c r="WIB32" s="60"/>
      <c r="WIC32" s="54"/>
      <c r="WID32" s="54"/>
      <c r="WIE32" s="36"/>
      <c r="WIF32" s="55"/>
      <c r="WIG32" s="54"/>
      <c r="WIH32" s="56"/>
      <c r="WII32" s="57"/>
      <c r="WIJ32" s="54"/>
      <c r="WIK32" s="54"/>
      <c r="WIL32" s="54"/>
      <c r="WIM32" s="58"/>
      <c r="WIN32" s="58"/>
      <c r="WIO32" s="58"/>
      <c r="WIP32" s="58"/>
      <c r="WIQ32" s="59"/>
      <c r="WIR32" s="60"/>
      <c r="WIS32" s="54"/>
      <c r="WIT32" s="54"/>
      <c r="WIU32" s="36"/>
      <c r="WIV32" s="55"/>
      <c r="WIW32" s="54"/>
      <c r="WIX32" s="56"/>
      <c r="WIY32" s="57"/>
      <c r="WIZ32" s="54"/>
      <c r="WJA32" s="54"/>
      <c r="WJB32" s="54"/>
      <c r="WJC32" s="58"/>
      <c r="WJD32" s="58"/>
      <c r="WJE32" s="58"/>
      <c r="WJF32" s="58"/>
      <c r="WJG32" s="59"/>
      <c r="WJH32" s="60"/>
      <c r="WJI32" s="54"/>
      <c r="WJJ32" s="54"/>
      <c r="WJK32" s="36"/>
      <c r="WJL32" s="55"/>
      <c r="WJM32" s="54"/>
      <c r="WJN32" s="56"/>
      <c r="WJO32" s="57"/>
      <c r="WJP32" s="54"/>
      <c r="WJQ32" s="54"/>
      <c r="WJR32" s="54"/>
      <c r="WJS32" s="58"/>
      <c r="WJT32" s="58"/>
      <c r="WJU32" s="58"/>
      <c r="WJV32" s="58"/>
      <c r="WJW32" s="59"/>
      <c r="WJX32" s="60"/>
      <c r="WJY32" s="54"/>
      <c r="WJZ32" s="54"/>
      <c r="WKA32" s="36"/>
      <c r="WKB32" s="55"/>
      <c r="WKC32" s="54"/>
      <c r="WKD32" s="56"/>
      <c r="WKE32" s="57"/>
      <c r="WKF32" s="54"/>
      <c r="WKG32" s="54"/>
      <c r="WKH32" s="54"/>
      <c r="WKI32" s="58"/>
      <c r="WKJ32" s="58"/>
      <c r="WKK32" s="58"/>
      <c r="WKL32" s="58"/>
      <c r="WKM32" s="59"/>
      <c r="WKN32" s="60"/>
      <c r="WKO32" s="54"/>
      <c r="WKP32" s="54"/>
      <c r="WKQ32" s="36"/>
      <c r="WKR32" s="55"/>
      <c r="WKS32" s="54"/>
      <c r="WKT32" s="56"/>
      <c r="WKU32" s="57"/>
      <c r="WKV32" s="54"/>
      <c r="WKW32" s="54"/>
      <c r="WKX32" s="54"/>
      <c r="WKY32" s="58"/>
      <c r="WKZ32" s="58"/>
      <c r="WLA32" s="58"/>
      <c r="WLB32" s="58"/>
      <c r="WLC32" s="59"/>
      <c r="WLD32" s="60"/>
      <c r="WLE32" s="54"/>
      <c r="WLF32" s="54"/>
      <c r="WLG32" s="36"/>
      <c r="WLH32" s="55"/>
      <c r="WLI32" s="54"/>
      <c r="WLJ32" s="56"/>
      <c r="WLK32" s="57"/>
      <c r="WLL32" s="54"/>
      <c r="WLM32" s="54"/>
      <c r="WLN32" s="54"/>
      <c r="WLO32" s="58"/>
      <c r="WLP32" s="58"/>
      <c r="WLQ32" s="58"/>
      <c r="WLR32" s="58"/>
      <c r="WLS32" s="59"/>
      <c r="WLT32" s="60"/>
      <c r="WLU32" s="54"/>
      <c r="WLV32" s="54"/>
      <c r="WLW32" s="36"/>
      <c r="WLX32" s="55"/>
      <c r="WLY32" s="54"/>
      <c r="WLZ32" s="56"/>
      <c r="WMA32" s="57"/>
      <c r="WMB32" s="54"/>
      <c r="WMC32" s="54"/>
      <c r="WMD32" s="54"/>
      <c r="WME32" s="58"/>
      <c r="WMF32" s="58"/>
      <c r="WMG32" s="58"/>
      <c r="WMH32" s="58"/>
      <c r="WMI32" s="59"/>
      <c r="WMJ32" s="60"/>
      <c r="WMK32" s="54"/>
      <c r="WML32" s="54"/>
      <c r="WMM32" s="36"/>
      <c r="WMN32" s="55"/>
      <c r="WMO32" s="54"/>
      <c r="WMP32" s="56"/>
      <c r="WMQ32" s="57"/>
      <c r="WMR32" s="54"/>
      <c r="WMS32" s="54"/>
      <c r="WMT32" s="54"/>
      <c r="WMU32" s="58"/>
      <c r="WMV32" s="58"/>
      <c r="WMW32" s="58"/>
      <c r="WMX32" s="58"/>
      <c r="WMY32" s="59"/>
      <c r="WMZ32" s="60"/>
      <c r="WNA32" s="54"/>
      <c r="WNB32" s="54"/>
      <c r="WNC32" s="36"/>
      <c r="WND32" s="55"/>
      <c r="WNE32" s="54"/>
      <c r="WNF32" s="56"/>
      <c r="WNG32" s="57"/>
      <c r="WNH32" s="54"/>
      <c r="WNI32" s="54"/>
      <c r="WNJ32" s="54"/>
      <c r="WNK32" s="58"/>
      <c r="WNL32" s="58"/>
      <c r="WNM32" s="58"/>
      <c r="WNN32" s="58"/>
      <c r="WNO32" s="59"/>
      <c r="WNP32" s="60"/>
      <c r="WNQ32" s="54"/>
      <c r="WNR32" s="54"/>
      <c r="WNS32" s="36"/>
      <c r="WNT32" s="55"/>
      <c r="WNU32" s="54"/>
      <c r="WNV32" s="56"/>
      <c r="WNW32" s="57"/>
      <c r="WNX32" s="54"/>
      <c r="WNY32" s="54"/>
      <c r="WNZ32" s="54"/>
      <c r="WOA32" s="58"/>
      <c r="WOB32" s="58"/>
      <c r="WOC32" s="58"/>
      <c r="WOD32" s="58"/>
      <c r="WOE32" s="59"/>
      <c r="WOF32" s="60"/>
      <c r="WOG32" s="54"/>
      <c r="WOH32" s="54"/>
      <c r="WOI32" s="36"/>
      <c r="WOJ32" s="55"/>
      <c r="WOK32" s="54"/>
      <c r="WOL32" s="56"/>
      <c r="WOM32" s="57"/>
      <c r="WON32" s="54"/>
      <c r="WOO32" s="54"/>
      <c r="WOP32" s="54"/>
      <c r="WOQ32" s="58"/>
      <c r="WOR32" s="58"/>
      <c r="WOS32" s="58"/>
      <c r="WOT32" s="58"/>
      <c r="WOU32" s="59"/>
      <c r="WOV32" s="60"/>
      <c r="WOW32" s="54"/>
      <c r="WOX32" s="54"/>
      <c r="WOY32" s="36"/>
      <c r="WOZ32" s="55"/>
      <c r="WPA32" s="54"/>
      <c r="WPB32" s="56"/>
      <c r="WPC32" s="57"/>
      <c r="WPD32" s="54"/>
      <c r="WPE32" s="54"/>
      <c r="WPF32" s="54"/>
      <c r="WPG32" s="58"/>
      <c r="WPH32" s="58"/>
      <c r="WPI32" s="58"/>
      <c r="WPJ32" s="58"/>
      <c r="WPK32" s="59"/>
      <c r="WPL32" s="60"/>
      <c r="WPM32" s="54"/>
      <c r="WPN32" s="54"/>
      <c r="WPO32" s="36"/>
      <c r="WPP32" s="55"/>
      <c r="WPQ32" s="54"/>
      <c r="WPR32" s="56"/>
      <c r="WPS32" s="57"/>
      <c r="WPT32" s="54"/>
      <c r="WPU32" s="54"/>
      <c r="WPV32" s="54"/>
      <c r="WPW32" s="58"/>
      <c r="WPX32" s="58"/>
      <c r="WPY32" s="58"/>
      <c r="WPZ32" s="58"/>
      <c r="WQA32" s="59"/>
      <c r="WQB32" s="60"/>
      <c r="WQC32" s="54"/>
      <c r="WQD32" s="54"/>
      <c r="WQE32" s="36"/>
      <c r="WQF32" s="55"/>
      <c r="WQG32" s="54"/>
      <c r="WQH32" s="56"/>
      <c r="WQI32" s="57"/>
      <c r="WQJ32" s="54"/>
      <c r="WQK32" s="54"/>
      <c r="WQL32" s="54"/>
      <c r="WQM32" s="58"/>
      <c r="WQN32" s="58"/>
      <c r="WQO32" s="58"/>
      <c r="WQP32" s="58"/>
      <c r="WQQ32" s="59"/>
      <c r="WQR32" s="60"/>
      <c r="WQS32" s="54"/>
      <c r="WQT32" s="54"/>
      <c r="WQU32" s="36"/>
      <c r="WQV32" s="55"/>
      <c r="WQW32" s="54"/>
      <c r="WQX32" s="56"/>
      <c r="WQY32" s="57"/>
      <c r="WQZ32" s="54"/>
      <c r="WRA32" s="54"/>
      <c r="WRB32" s="54"/>
      <c r="WRC32" s="58"/>
      <c r="WRD32" s="58"/>
      <c r="WRE32" s="58"/>
      <c r="WRF32" s="58"/>
      <c r="WRG32" s="59"/>
      <c r="WRH32" s="60"/>
      <c r="WRI32" s="54"/>
      <c r="WRJ32" s="54"/>
      <c r="WRK32" s="36"/>
      <c r="WRL32" s="55"/>
      <c r="WRM32" s="54"/>
      <c r="WRN32" s="56"/>
      <c r="WRO32" s="57"/>
      <c r="WRP32" s="54"/>
      <c r="WRQ32" s="54"/>
      <c r="WRR32" s="54"/>
      <c r="WRS32" s="58"/>
      <c r="WRT32" s="58"/>
      <c r="WRU32" s="58"/>
      <c r="WRV32" s="58"/>
      <c r="WRW32" s="59"/>
      <c r="WRX32" s="60"/>
      <c r="WRY32" s="54"/>
      <c r="WRZ32" s="54"/>
      <c r="WSA32" s="36"/>
      <c r="WSB32" s="55"/>
      <c r="WSC32" s="54"/>
      <c r="WSD32" s="56"/>
      <c r="WSE32" s="57"/>
      <c r="WSF32" s="54"/>
      <c r="WSG32" s="54"/>
      <c r="WSH32" s="54"/>
      <c r="WSI32" s="58"/>
      <c r="WSJ32" s="58"/>
      <c r="WSK32" s="58"/>
      <c r="WSL32" s="58"/>
      <c r="WSM32" s="59"/>
      <c r="WSN32" s="60"/>
      <c r="WSO32" s="54"/>
      <c r="WSP32" s="54"/>
      <c r="WSQ32" s="36"/>
      <c r="WSR32" s="55"/>
      <c r="WSS32" s="54"/>
      <c r="WST32" s="56"/>
      <c r="WSU32" s="57"/>
      <c r="WSV32" s="54"/>
      <c r="WSW32" s="54"/>
      <c r="WSX32" s="54"/>
      <c r="WSY32" s="58"/>
      <c r="WSZ32" s="58"/>
      <c r="WTA32" s="58"/>
      <c r="WTB32" s="58"/>
      <c r="WTC32" s="59"/>
      <c r="WTD32" s="60"/>
      <c r="WTE32" s="54"/>
      <c r="WTF32" s="54"/>
      <c r="WTG32" s="36"/>
      <c r="WTH32" s="55"/>
      <c r="WTI32" s="54"/>
      <c r="WTJ32" s="56"/>
      <c r="WTK32" s="57"/>
      <c r="WTL32" s="54"/>
      <c r="WTM32" s="54"/>
      <c r="WTN32" s="54"/>
      <c r="WTO32" s="58"/>
      <c r="WTP32" s="58"/>
      <c r="WTQ32" s="58"/>
      <c r="WTR32" s="58"/>
      <c r="WTS32" s="59"/>
      <c r="WTT32" s="60"/>
      <c r="WTU32" s="54"/>
      <c r="WTV32" s="54"/>
      <c r="WTW32" s="36"/>
      <c r="WTX32" s="55"/>
      <c r="WTY32" s="54"/>
      <c r="WTZ32" s="56"/>
      <c r="WUA32" s="57"/>
      <c r="WUB32" s="54"/>
      <c r="WUC32" s="54"/>
      <c r="WUD32" s="54"/>
      <c r="WUE32" s="58"/>
      <c r="WUF32" s="58"/>
      <c r="WUG32" s="58"/>
      <c r="WUH32" s="58"/>
      <c r="WUI32" s="59"/>
      <c r="WUJ32" s="60"/>
      <c r="WUK32" s="54"/>
      <c r="WUL32" s="54"/>
      <c r="WUM32" s="36"/>
      <c r="WUN32" s="55"/>
      <c r="WUO32" s="54"/>
      <c r="WUP32" s="56"/>
      <c r="WUQ32" s="57"/>
      <c r="WUR32" s="54"/>
      <c r="WUS32" s="54"/>
      <c r="WUT32" s="54"/>
      <c r="WUU32" s="58"/>
      <c r="WUV32" s="58"/>
      <c r="WUW32" s="58"/>
      <c r="WUX32" s="58"/>
      <c r="WUY32" s="59"/>
      <c r="WUZ32" s="60"/>
      <c r="WVA32" s="54"/>
      <c r="WVB32" s="54"/>
      <c r="WVC32" s="36"/>
      <c r="WVD32" s="55"/>
      <c r="WVE32" s="54"/>
      <c r="WVF32" s="56"/>
      <c r="WVG32" s="57"/>
      <c r="WVH32" s="54"/>
      <c r="WVI32" s="54"/>
      <c r="WVJ32" s="54"/>
      <c r="WVK32" s="58"/>
      <c r="WVL32" s="58"/>
      <c r="WVM32" s="58"/>
      <c r="WVN32" s="58"/>
      <c r="WVO32" s="59"/>
      <c r="WVP32" s="60"/>
      <c r="WVQ32" s="54"/>
      <c r="WVR32" s="54"/>
      <c r="WVS32" s="36"/>
      <c r="WVT32" s="55"/>
      <c r="WVU32" s="54"/>
      <c r="WVV32" s="56"/>
      <c r="WVW32" s="57"/>
      <c r="WVX32" s="54"/>
      <c r="WVY32" s="54"/>
      <c r="WVZ32" s="54"/>
      <c r="WWA32" s="58"/>
      <c r="WWB32" s="58"/>
      <c r="WWC32" s="58"/>
      <c r="WWD32" s="58"/>
      <c r="WWE32" s="59"/>
      <c r="WWF32" s="60"/>
      <c r="WWG32" s="54"/>
      <c r="WWH32" s="54"/>
      <c r="WWI32" s="36"/>
      <c r="WWJ32" s="55"/>
      <c r="WWK32" s="54"/>
      <c r="WWL32" s="56"/>
      <c r="WWM32" s="57"/>
      <c r="WWN32" s="54"/>
      <c r="WWO32" s="54"/>
      <c r="WWP32" s="54"/>
      <c r="WWQ32" s="58"/>
      <c r="WWR32" s="58"/>
      <c r="WWS32" s="58"/>
      <c r="WWT32" s="58"/>
      <c r="WWU32" s="59"/>
      <c r="WWV32" s="60"/>
      <c r="WWW32" s="54"/>
      <c r="WWX32" s="54"/>
      <c r="WWY32" s="36"/>
      <c r="WWZ32" s="55"/>
      <c r="WXA32" s="54"/>
      <c r="WXB32" s="56"/>
      <c r="WXC32" s="57"/>
      <c r="WXD32" s="54"/>
      <c r="WXE32" s="54"/>
      <c r="WXF32" s="54"/>
      <c r="WXG32" s="58"/>
      <c r="WXH32" s="58"/>
      <c r="WXI32" s="58"/>
      <c r="WXJ32" s="58"/>
      <c r="WXK32" s="59"/>
      <c r="WXL32" s="60"/>
      <c r="WXM32" s="54"/>
      <c r="WXN32" s="54"/>
      <c r="WXO32" s="36"/>
      <c r="WXP32" s="55"/>
      <c r="WXQ32" s="54"/>
      <c r="WXR32" s="56"/>
      <c r="WXS32" s="57"/>
      <c r="WXT32" s="54"/>
      <c r="WXU32" s="54"/>
      <c r="WXV32" s="54"/>
      <c r="WXW32" s="58"/>
      <c r="WXX32" s="58"/>
      <c r="WXY32" s="58"/>
      <c r="WXZ32" s="58"/>
      <c r="WYA32" s="59"/>
      <c r="WYB32" s="60"/>
      <c r="WYC32" s="54"/>
      <c r="WYD32" s="54"/>
      <c r="WYE32" s="36"/>
      <c r="WYF32" s="55"/>
      <c r="WYG32" s="54"/>
      <c r="WYH32" s="56"/>
      <c r="WYI32" s="57"/>
      <c r="WYJ32" s="54"/>
      <c r="WYK32" s="54"/>
      <c r="WYL32" s="54"/>
      <c r="WYM32" s="58"/>
      <c r="WYN32" s="58"/>
      <c r="WYO32" s="58"/>
      <c r="WYP32" s="58"/>
      <c r="WYQ32" s="59"/>
      <c r="WYR32" s="60"/>
      <c r="WYS32" s="54"/>
      <c r="WYT32" s="54"/>
      <c r="WYU32" s="36"/>
      <c r="WYV32" s="55"/>
      <c r="WYW32" s="54"/>
      <c r="WYX32" s="56"/>
      <c r="WYY32" s="57"/>
      <c r="WYZ32" s="54"/>
      <c r="WZA32" s="54"/>
      <c r="WZB32" s="54"/>
      <c r="WZC32" s="58"/>
      <c r="WZD32" s="58"/>
      <c r="WZE32" s="58"/>
      <c r="WZF32" s="58"/>
      <c r="WZG32" s="59"/>
      <c r="WZH32" s="60"/>
      <c r="WZI32" s="54"/>
      <c r="WZJ32" s="54"/>
      <c r="WZK32" s="36"/>
      <c r="WZL32" s="55"/>
      <c r="WZM32" s="54"/>
      <c r="WZN32" s="56"/>
      <c r="WZO32" s="57"/>
      <c r="WZP32" s="54"/>
      <c r="WZQ32" s="54"/>
      <c r="WZR32" s="54"/>
      <c r="WZS32" s="58"/>
      <c r="WZT32" s="58"/>
      <c r="WZU32" s="58"/>
      <c r="WZV32" s="58"/>
      <c r="WZW32" s="59"/>
      <c r="WZX32" s="60"/>
      <c r="WZY32" s="54"/>
      <c r="WZZ32" s="54"/>
      <c r="XAA32" s="36"/>
      <c r="XAB32" s="55"/>
      <c r="XAC32" s="54"/>
      <c r="XAD32" s="56"/>
      <c r="XAE32" s="57"/>
      <c r="XAF32" s="54"/>
      <c r="XAG32" s="54"/>
      <c r="XAH32" s="54"/>
      <c r="XAI32" s="58"/>
      <c r="XAJ32" s="58"/>
      <c r="XAK32" s="58"/>
      <c r="XAL32" s="58"/>
      <c r="XAM32" s="59"/>
      <c r="XAN32" s="60"/>
      <c r="XAO32" s="54"/>
      <c r="XAP32" s="54"/>
      <c r="XAQ32" s="36"/>
      <c r="XAR32" s="55"/>
      <c r="XAS32" s="54"/>
      <c r="XAT32" s="56"/>
      <c r="XAU32" s="57"/>
      <c r="XAV32" s="54"/>
      <c r="XAW32" s="54"/>
      <c r="XAX32" s="54"/>
      <c r="XAY32" s="58"/>
      <c r="XAZ32" s="58"/>
      <c r="XBA32" s="58"/>
      <c r="XBB32" s="58"/>
      <c r="XBC32" s="59"/>
      <c r="XBD32" s="60"/>
      <c r="XBE32" s="54"/>
      <c r="XBF32" s="54"/>
      <c r="XBG32" s="36"/>
      <c r="XBH32" s="55"/>
      <c r="XBI32" s="54"/>
      <c r="XBJ32" s="56"/>
      <c r="XBK32" s="57"/>
      <c r="XBL32" s="54"/>
      <c r="XBM32" s="54"/>
      <c r="XBN32" s="54"/>
      <c r="XBO32" s="58"/>
      <c r="XBP32" s="58"/>
      <c r="XBQ32" s="58"/>
      <c r="XBR32" s="58"/>
      <c r="XBS32" s="59"/>
      <c r="XBT32" s="60"/>
      <c r="XBU32" s="54"/>
      <c r="XBV32" s="54"/>
      <c r="XBW32" s="36"/>
      <c r="XBX32" s="55"/>
      <c r="XBY32" s="54"/>
      <c r="XBZ32" s="56"/>
      <c r="XCA32" s="57"/>
      <c r="XCB32" s="54"/>
      <c r="XCC32" s="54"/>
      <c r="XCD32" s="54"/>
      <c r="XCE32" s="58"/>
      <c r="XCF32" s="58"/>
      <c r="XCG32" s="58"/>
      <c r="XCH32" s="58"/>
      <c r="XCI32" s="59"/>
      <c r="XCJ32" s="60"/>
      <c r="XCK32" s="54"/>
      <c r="XCL32" s="54"/>
      <c r="XCM32" s="36"/>
      <c r="XCN32" s="55"/>
      <c r="XCO32" s="54"/>
      <c r="XCP32" s="56"/>
      <c r="XCQ32" s="57"/>
      <c r="XCR32" s="54"/>
      <c r="XCS32" s="54"/>
      <c r="XCT32" s="54"/>
      <c r="XCU32" s="58"/>
      <c r="XCV32" s="58"/>
      <c r="XCW32" s="58"/>
      <c r="XCX32" s="58"/>
      <c r="XCY32" s="59"/>
      <c r="XCZ32" s="60"/>
      <c r="XDA32" s="54"/>
      <c r="XDB32" s="54"/>
      <c r="XDC32" s="36"/>
      <c r="XDD32" s="55"/>
      <c r="XDE32" s="54"/>
      <c r="XDF32" s="56"/>
      <c r="XDG32" s="57"/>
      <c r="XDH32" s="54"/>
      <c r="XDI32" s="54"/>
      <c r="XDJ32" s="54"/>
      <c r="XDK32" s="58"/>
      <c r="XDL32" s="58"/>
      <c r="XDM32" s="58"/>
      <c r="XDN32" s="58"/>
      <c r="XDO32" s="59"/>
      <c r="XDP32" s="60"/>
      <c r="XDQ32" s="54"/>
      <c r="XDR32" s="54"/>
      <c r="XDS32" s="36"/>
      <c r="XDT32" s="55"/>
      <c r="XDU32" s="54"/>
      <c r="XDV32" s="56"/>
      <c r="XDW32" s="57"/>
      <c r="XDX32" s="54"/>
      <c r="XDY32" s="54"/>
      <c r="XDZ32" s="54"/>
      <c r="XEA32" s="58"/>
      <c r="XEB32" s="58"/>
      <c r="XEC32" s="58"/>
      <c r="XED32" s="58"/>
      <c r="XEE32" s="59"/>
      <c r="XEF32" s="60"/>
      <c r="XEG32" s="54"/>
      <c r="XEH32" s="54"/>
      <c r="XEI32" s="36"/>
      <c r="XEJ32" s="55"/>
      <c r="XEK32" s="54"/>
      <c r="XEL32" s="56"/>
      <c r="XEM32" s="57"/>
      <c r="XEN32" s="54"/>
      <c r="XEO32" s="54"/>
      <c r="XEP32" s="54"/>
      <c r="XEQ32" s="58"/>
      <c r="XER32" s="58"/>
      <c r="XES32" s="58"/>
      <c r="XET32" s="58"/>
      <c r="XEU32" s="59"/>
    </row>
    <row r="33" spans="1:16" s="39" customFormat="1" ht="12.75">
      <c r="A33" s="40">
        <v>30</v>
      </c>
      <c r="B33" s="13" t="s">
        <v>280</v>
      </c>
      <c r="C33" s="13" t="s">
        <v>12</v>
      </c>
      <c r="D33" s="38">
        <v>64100000</v>
      </c>
      <c r="E33" s="67">
        <v>2746</v>
      </c>
      <c r="F33" s="24" t="s">
        <v>38</v>
      </c>
      <c r="G33" s="13" t="s">
        <v>13</v>
      </c>
      <c r="H33" s="32">
        <v>150026941</v>
      </c>
      <c r="I33" s="14" t="s">
        <v>394</v>
      </c>
      <c r="J33" s="3" t="s">
        <v>41</v>
      </c>
      <c r="K33" s="35">
        <v>201954965</v>
      </c>
      <c r="L33" s="126" t="s">
        <v>479</v>
      </c>
      <c r="M33" s="126"/>
      <c r="N33" s="65">
        <v>700</v>
      </c>
      <c r="O33" s="70"/>
      <c r="P33" s="50" t="s">
        <v>482</v>
      </c>
    </row>
    <row r="34" spans="1:16" s="39" customFormat="1" ht="12.75">
      <c r="A34" s="32">
        <v>31</v>
      </c>
      <c r="B34" s="13" t="s">
        <v>280</v>
      </c>
      <c r="C34" s="13" t="s">
        <v>56</v>
      </c>
      <c r="D34" s="13">
        <v>64200000</v>
      </c>
      <c r="E34" s="66">
        <v>6175</v>
      </c>
      <c r="F34" s="24" t="s">
        <v>57</v>
      </c>
      <c r="G34" s="13" t="s">
        <v>43</v>
      </c>
      <c r="H34" s="32">
        <v>150048424</v>
      </c>
      <c r="I34" s="42" t="s">
        <v>398</v>
      </c>
      <c r="J34" s="13" t="s">
        <v>60</v>
      </c>
      <c r="K34" s="35">
        <v>204876606</v>
      </c>
      <c r="L34" s="126" t="s">
        <v>397</v>
      </c>
      <c r="M34" s="126"/>
      <c r="N34" s="65">
        <v>6175</v>
      </c>
      <c r="O34" s="70">
        <f>216.12</f>
        <v>216.12</v>
      </c>
      <c r="P34" s="50" t="s">
        <v>482</v>
      </c>
    </row>
    <row r="35" spans="1:16" s="39" customFormat="1" ht="12.75">
      <c r="A35" s="32">
        <v>32</v>
      </c>
      <c r="B35" s="13" t="s">
        <v>280</v>
      </c>
      <c r="C35" s="13" t="s">
        <v>15</v>
      </c>
      <c r="D35" s="13">
        <v>66500000</v>
      </c>
      <c r="E35" s="66">
        <v>4488</v>
      </c>
      <c r="F35" s="24" t="s">
        <v>391</v>
      </c>
      <c r="G35" s="13" t="s">
        <v>13</v>
      </c>
      <c r="H35" s="32">
        <v>150026928</v>
      </c>
      <c r="I35" s="14" t="s">
        <v>392</v>
      </c>
      <c r="J35" s="13" t="s">
        <v>393</v>
      </c>
      <c r="K35" s="35">
        <v>204970031</v>
      </c>
      <c r="L35" s="126" t="s">
        <v>478</v>
      </c>
      <c r="M35" s="126"/>
      <c r="N35" s="65">
        <v>463.88</v>
      </c>
      <c r="O35" s="70">
        <v>463.88</v>
      </c>
      <c r="P35" s="50" t="s">
        <v>482</v>
      </c>
    </row>
    <row r="36" spans="1:16" s="39" customFormat="1" ht="12.75">
      <c r="A36" s="32">
        <v>33</v>
      </c>
      <c r="B36" s="13" t="s">
        <v>280</v>
      </c>
      <c r="C36" s="13" t="s">
        <v>12</v>
      </c>
      <c r="D36" s="13">
        <v>72400000</v>
      </c>
      <c r="E36" s="66">
        <v>3575</v>
      </c>
      <c r="F36" s="24" t="s">
        <v>347</v>
      </c>
      <c r="G36" s="13" t="s">
        <v>13</v>
      </c>
      <c r="H36" s="32">
        <v>150026953</v>
      </c>
      <c r="I36" s="13" t="s">
        <v>395</v>
      </c>
      <c r="J36" s="3" t="s">
        <v>396</v>
      </c>
      <c r="K36" s="35">
        <v>205277369</v>
      </c>
      <c r="L36" s="126" t="s">
        <v>479</v>
      </c>
      <c r="M36" s="126"/>
      <c r="N36" s="65">
        <v>300</v>
      </c>
      <c r="O36" s="70">
        <f>25+25</f>
        <v>50</v>
      </c>
      <c r="P36" s="50" t="s">
        <v>482</v>
      </c>
    </row>
    <row r="37" spans="1:16" s="4" customFormat="1" ht="12.75">
      <c r="A37" s="40">
        <v>34</v>
      </c>
      <c r="B37" s="13" t="s">
        <v>280</v>
      </c>
      <c r="C37" s="13" t="s">
        <v>56</v>
      </c>
      <c r="D37" s="13">
        <v>79200000</v>
      </c>
      <c r="E37" s="66">
        <v>145200</v>
      </c>
      <c r="F37" s="24" t="s">
        <v>418</v>
      </c>
      <c r="G37" s="13" t="s">
        <v>369</v>
      </c>
      <c r="H37" s="32">
        <v>150001345</v>
      </c>
      <c r="I37" s="13" t="s">
        <v>420</v>
      </c>
      <c r="J37" s="3" t="s">
        <v>421</v>
      </c>
      <c r="K37" s="35">
        <v>404437695</v>
      </c>
      <c r="L37" s="126" t="s">
        <v>419</v>
      </c>
      <c r="M37" s="126"/>
      <c r="N37" s="64">
        <v>58950</v>
      </c>
      <c r="O37" s="71"/>
      <c r="P37" s="50" t="s">
        <v>482</v>
      </c>
    </row>
    <row r="38" spans="1:16" s="4" customFormat="1" ht="12.75">
      <c r="A38" s="32">
        <v>35</v>
      </c>
      <c r="B38" s="13" t="s">
        <v>280</v>
      </c>
      <c r="C38" s="13" t="s">
        <v>15</v>
      </c>
      <c r="D38" s="13">
        <v>79300000</v>
      </c>
      <c r="E38" s="66">
        <v>183</v>
      </c>
      <c r="F38" s="24" t="s">
        <v>337</v>
      </c>
      <c r="G38" s="13" t="s">
        <v>13</v>
      </c>
      <c r="H38" s="32">
        <v>150050787</v>
      </c>
      <c r="I38" s="13" t="s">
        <v>416</v>
      </c>
      <c r="J38" s="13" t="s">
        <v>417</v>
      </c>
      <c r="K38" s="35">
        <v>205035282</v>
      </c>
      <c r="L38" s="126" t="s">
        <v>415</v>
      </c>
      <c r="M38" s="126"/>
      <c r="N38" s="64">
        <v>180</v>
      </c>
      <c r="O38" s="71"/>
      <c r="P38" s="50" t="s">
        <v>482</v>
      </c>
    </row>
    <row r="39" spans="1:16" s="4" customFormat="1" ht="22.5">
      <c r="A39" s="32">
        <v>36</v>
      </c>
      <c r="B39" s="13" t="s">
        <v>280</v>
      </c>
      <c r="C39" s="13" t="s">
        <v>15</v>
      </c>
      <c r="D39" s="13">
        <v>79400000</v>
      </c>
      <c r="E39" s="66">
        <v>173200</v>
      </c>
      <c r="F39" s="5" t="s">
        <v>373</v>
      </c>
      <c r="G39" s="13" t="s">
        <v>369</v>
      </c>
      <c r="H39" s="32">
        <v>150002244</v>
      </c>
      <c r="I39" s="13" t="s">
        <v>375</v>
      </c>
      <c r="J39" s="3" t="s">
        <v>376</v>
      </c>
      <c r="K39" s="35">
        <v>454406170</v>
      </c>
      <c r="L39" s="126" t="s">
        <v>374</v>
      </c>
      <c r="M39" s="126"/>
      <c r="N39" s="64">
        <v>56700</v>
      </c>
      <c r="O39" s="71">
        <f>5500+1405.25</f>
        <v>6905.25</v>
      </c>
      <c r="P39" s="50" t="s">
        <v>482</v>
      </c>
    </row>
    <row r="40" spans="1:16" s="39" customFormat="1" ht="12.75">
      <c r="A40" s="32">
        <v>37</v>
      </c>
      <c r="B40" s="13" t="s">
        <v>280</v>
      </c>
      <c r="C40" s="32" t="s">
        <v>15</v>
      </c>
      <c r="D40" s="43">
        <v>79500000</v>
      </c>
      <c r="E40" s="68">
        <v>3080</v>
      </c>
      <c r="F40" s="41" t="s">
        <v>340</v>
      </c>
      <c r="G40" s="13" t="s">
        <v>13</v>
      </c>
      <c r="H40" s="38">
        <v>150019912</v>
      </c>
      <c r="I40" s="42" t="s">
        <v>388</v>
      </c>
      <c r="J40" s="43" t="s">
        <v>268</v>
      </c>
      <c r="K40" s="35">
        <v>204544029</v>
      </c>
      <c r="L40" s="126" t="s">
        <v>476</v>
      </c>
      <c r="M40" s="126"/>
      <c r="N40" s="65">
        <v>1700</v>
      </c>
      <c r="O40" s="70">
        <v>29.5</v>
      </c>
      <c r="P40" s="50" t="s">
        <v>482</v>
      </c>
    </row>
    <row r="41" spans="1:16" s="39" customFormat="1" ht="12.75">
      <c r="A41" s="40">
        <v>38</v>
      </c>
      <c r="B41" s="13" t="s">
        <v>280</v>
      </c>
      <c r="C41" s="13" t="s">
        <v>12</v>
      </c>
      <c r="D41" s="13">
        <v>79800000</v>
      </c>
      <c r="E41" s="66">
        <v>48760</v>
      </c>
      <c r="F41" s="47" t="s">
        <v>314</v>
      </c>
      <c r="G41" s="13" t="s">
        <v>369</v>
      </c>
      <c r="H41" s="32">
        <v>150004408</v>
      </c>
      <c r="I41" s="49" t="s">
        <v>436</v>
      </c>
      <c r="J41" s="3" t="s">
        <v>95</v>
      </c>
      <c r="K41" s="35">
        <v>401988890</v>
      </c>
      <c r="L41" s="126" t="s">
        <v>435</v>
      </c>
      <c r="M41" s="126"/>
      <c r="N41" s="64">
        <v>11950</v>
      </c>
      <c r="O41" s="73"/>
      <c r="P41" s="50" t="s">
        <v>482</v>
      </c>
    </row>
    <row r="42" spans="1:16" s="4" customFormat="1" ht="22.5">
      <c r="A42" s="32">
        <v>39</v>
      </c>
      <c r="B42" s="13" t="s">
        <v>280</v>
      </c>
      <c r="C42" s="13" t="s">
        <v>15</v>
      </c>
      <c r="D42" s="13">
        <v>80500000</v>
      </c>
      <c r="E42" s="66">
        <v>163890</v>
      </c>
      <c r="F42" s="5" t="s">
        <v>370</v>
      </c>
      <c r="G42" s="13" t="s">
        <v>369</v>
      </c>
      <c r="H42" s="32">
        <v>140030475</v>
      </c>
      <c r="I42" s="13" t="s">
        <v>372</v>
      </c>
      <c r="J42" s="3" t="s">
        <v>304</v>
      </c>
      <c r="K42" s="30">
        <v>203862855</v>
      </c>
      <c r="L42" s="126" t="s">
        <v>371</v>
      </c>
      <c r="M42" s="126"/>
      <c r="N42" s="64">
        <v>49000</v>
      </c>
      <c r="O42" s="71">
        <f>1500+4708.28</f>
        <v>6208.28</v>
      </c>
      <c r="P42" s="50" t="s">
        <v>482</v>
      </c>
    </row>
    <row r="43" spans="1:16" s="4" customFormat="1" ht="33.75">
      <c r="A43" s="32">
        <v>40</v>
      </c>
      <c r="B43" s="13" t="s">
        <v>280</v>
      </c>
      <c r="C43" s="13" t="s">
        <v>15</v>
      </c>
      <c r="D43" s="132">
        <v>85300000</v>
      </c>
      <c r="E43" s="128">
        <v>325699</v>
      </c>
      <c r="F43" s="5" t="s">
        <v>377</v>
      </c>
      <c r="G43" s="14" t="s">
        <v>295</v>
      </c>
      <c r="H43" s="32">
        <v>140030893</v>
      </c>
      <c r="I43" s="13" t="s">
        <v>379</v>
      </c>
      <c r="J43" s="3" t="s">
        <v>306</v>
      </c>
      <c r="K43" s="35">
        <v>204954843</v>
      </c>
      <c r="L43" s="126" t="s">
        <v>378</v>
      </c>
      <c r="M43" s="126"/>
      <c r="N43" s="64">
        <v>259146</v>
      </c>
      <c r="O43" s="71"/>
      <c r="P43" s="50" t="s">
        <v>482</v>
      </c>
    </row>
    <row r="44" spans="1:16" s="4" customFormat="1" ht="22.5">
      <c r="A44" s="32">
        <v>41</v>
      </c>
      <c r="B44" s="13" t="s">
        <v>280</v>
      </c>
      <c r="C44" s="13" t="s">
        <v>15</v>
      </c>
      <c r="D44" s="134"/>
      <c r="E44" s="129"/>
      <c r="F44" s="5" t="s">
        <v>380</v>
      </c>
      <c r="G44" s="14" t="s">
        <v>295</v>
      </c>
      <c r="H44" s="32">
        <v>150002246</v>
      </c>
      <c r="I44" s="13" t="s">
        <v>382</v>
      </c>
      <c r="J44" s="3" t="s">
        <v>376</v>
      </c>
      <c r="K44" s="35">
        <v>454406170</v>
      </c>
      <c r="L44" s="126" t="s">
        <v>381</v>
      </c>
      <c r="M44" s="126"/>
      <c r="N44" s="64">
        <v>33400</v>
      </c>
      <c r="O44" s="71">
        <f>2500</f>
        <v>2500</v>
      </c>
      <c r="P44" s="50" t="s">
        <v>482</v>
      </c>
    </row>
  </sheetData>
  <mergeCells count="56">
    <mergeCell ref="L11:M11"/>
    <mergeCell ref="L3:M3"/>
    <mergeCell ref="L4:M4"/>
    <mergeCell ref="E4:E6"/>
    <mergeCell ref="L5:M5"/>
    <mergeCell ref="L6:M6"/>
    <mergeCell ref="L7:M7"/>
    <mergeCell ref="E7:E8"/>
    <mergeCell ref="L8:M8"/>
    <mergeCell ref="L9:M9"/>
    <mergeCell ref="L10:M10"/>
    <mergeCell ref="L23:M23"/>
    <mergeCell ref="L24:M24"/>
    <mergeCell ref="L25:M25"/>
    <mergeCell ref="L13:M13"/>
    <mergeCell ref="E12:E15"/>
    <mergeCell ref="L14:M14"/>
    <mergeCell ref="L15:M15"/>
    <mergeCell ref="L12:M12"/>
    <mergeCell ref="L16:M16"/>
    <mergeCell ref="E16:E23"/>
    <mergeCell ref="L17:M17"/>
    <mergeCell ref="L18:M18"/>
    <mergeCell ref="L19:M19"/>
    <mergeCell ref="D4:D6"/>
    <mergeCell ref="D27:D28"/>
    <mergeCell ref="D29:D31"/>
    <mergeCell ref="D43:D44"/>
    <mergeCell ref="L38:M38"/>
    <mergeCell ref="L39:M39"/>
    <mergeCell ref="L40:M40"/>
    <mergeCell ref="L41:M41"/>
    <mergeCell ref="L42:M42"/>
    <mergeCell ref="L43:M43"/>
    <mergeCell ref="L32:M32"/>
    <mergeCell ref="L33:M33"/>
    <mergeCell ref="L34:M34"/>
    <mergeCell ref="L35:M35"/>
    <mergeCell ref="L36:M36"/>
    <mergeCell ref="L37:M37"/>
    <mergeCell ref="E43:E44"/>
    <mergeCell ref="L44:M44"/>
    <mergeCell ref="D16:D23"/>
    <mergeCell ref="D12:D15"/>
    <mergeCell ref="D7:D8"/>
    <mergeCell ref="L26:M26"/>
    <mergeCell ref="L27:M27"/>
    <mergeCell ref="E27:E28"/>
    <mergeCell ref="L28:M28"/>
    <mergeCell ref="L29:M29"/>
    <mergeCell ref="E29:E31"/>
    <mergeCell ref="L30:M30"/>
    <mergeCell ref="L31:M31"/>
    <mergeCell ref="L20:M20"/>
    <mergeCell ref="L21:M21"/>
    <mergeCell ref="L22:M22"/>
  </mergeCells>
  <conditionalFormatting sqref="D24:D27 D4 D16 D9:D12 D7 D29 D32:D4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{0E6A51AE-70B2-4591-8EC2-2EDC97D70B92}</x14:id>
        </ext>
      </extLst>
    </cfRule>
  </conditionalFormatting>
  <conditionalFormatting sqref="D7 D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{E1161EE9-718E-4A9A-94A9-C4C2543D6A6D}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6A51AE-70B2-4591-8EC2-2EDC97D70B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D24:D27 D4 D16 D9:D12 D7 D29 D32:D43</xm:sqref>
        </x14:conditionalFormatting>
        <x14:conditionalFormatting xmlns:xm="http://schemas.microsoft.com/office/excel/2006/main">
          <x14:cfRule type="dataBar" id="{E1161EE9-718E-4A9A-94A9-C4C2543D6A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D7 D4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tabSelected="1" view="pageBreakPreview" zoomScale="60" zoomScaleNormal="100" workbookViewId="0">
      <pane ySplit="10" topLeftCell="A11" activePane="bottomLeft" state="frozen"/>
      <selection pane="bottomLeft" activeCell="Q1" sqref="Q1:Q1048576"/>
    </sheetView>
  </sheetViews>
  <sheetFormatPr defaultColWidth="9.125" defaultRowHeight="15.75"/>
  <cols>
    <col min="1" max="1" width="12.875" style="76" customWidth="1"/>
    <col min="2" max="2" width="34.375" style="76" customWidth="1"/>
    <col min="3" max="3" width="11.625" style="77" customWidth="1"/>
    <col min="4" max="4" width="21.625" style="77" customWidth="1"/>
    <col min="5" max="5" width="18" style="77" customWidth="1"/>
    <col min="6" max="6" width="10.875" style="77" customWidth="1"/>
    <col min="7" max="7" width="16.875" style="76" customWidth="1"/>
    <col min="8" max="8" width="16.5" style="76" customWidth="1"/>
    <col min="9" max="9" width="8.875" style="77" customWidth="1"/>
    <col min="10" max="10" width="9.25" style="77" customWidth="1"/>
    <col min="11" max="11" width="7.375" style="77" customWidth="1"/>
    <col min="12" max="12" width="11.375" style="76" bestFit="1" customWidth="1"/>
    <col min="13" max="13" width="13.625" style="78" bestFit="1" customWidth="1"/>
    <col min="14" max="14" width="14.875" style="142" customWidth="1"/>
    <col min="15" max="15" width="11.375" style="76" bestFit="1" customWidth="1"/>
    <col min="16" max="16" width="9.125" style="76"/>
    <col min="17" max="17" width="6.125" style="76" hidden="1" customWidth="1"/>
    <col min="18" max="16384" width="9.125" style="76"/>
  </cols>
  <sheetData>
    <row r="1" spans="1:17" s="120" customFormat="1" ht="15">
      <c r="A1" s="140" t="s">
        <v>873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Q1" s="120">
        <v>100000</v>
      </c>
    </row>
    <row r="2" spans="1:17" s="120" customFormat="1" ht="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7" s="120" customFormat="1" ht="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7" s="120" customFormat="1" ht="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7" s="120" customFormat="1" ht="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7" s="120" customFormat="1" ht="1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7" s="120" customFormat="1" ht="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7" s="120" customFormat="1" ht="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10" spans="1:17" s="123" customFormat="1" ht="25.5">
      <c r="A10" s="121" t="s">
        <v>0</v>
      </c>
      <c r="B10" s="121" t="s">
        <v>484</v>
      </c>
      <c r="C10" s="121" t="s">
        <v>868</v>
      </c>
      <c r="D10" s="121" t="s">
        <v>3</v>
      </c>
      <c r="E10" s="121" t="s">
        <v>4</v>
      </c>
      <c r="F10" s="121" t="s">
        <v>5</v>
      </c>
      <c r="G10" s="121" t="s">
        <v>485</v>
      </c>
      <c r="H10" s="121" t="s">
        <v>7</v>
      </c>
      <c r="I10" s="121" t="s">
        <v>8</v>
      </c>
      <c r="J10" s="141" t="s">
        <v>9</v>
      </c>
      <c r="K10" s="141"/>
      <c r="L10" s="121" t="s">
        <v>486</v>
      </c>
      <c r="M10" s="122" t="s">
        <v>11</v>
      </c>
      <c r="N10" s="125" t="s">
        <v>487</v>
      </c>
    </row>
    <row r="11" spans="1:17" ht="56.25">
      <c r="A11" s="79" t="s">
        <v>280</v>
      </c>
      <c r="B11" s="80" t="s">
        <v>871</v>
      </c>
      <c r="C11" s="80">
        <f>Q11*$Q$1</f>
        <v>85100000</v>
      </c>
      <c r="D11" s="81" t="s">
        <v>281</v>
      </c>
      <c r="E11" s="80" t="s">
        <v>283</v>
      </c>
      <c r="F11" s="80">
        <v>140024356</v>
      </c>
      <c r="G11" s="80" t="s">
        <v>31</v>
      </c>
      <c r="H11" s="82" t="s">
        <v>302</v>
      </c>
      <c r="I11" s="83">
        <v>212153756</v>
      </c>
      <c r="J11" s="138" t="s">
        <v>488</v>
      </c>
      <c r="K11" s="139"/>
      <c r="L11" s="84">
        <v>1840150</v>
      </c>
      <c r="M11" s="85">
        <f>122090.4+113809.28+138366.46+134189.31+122535.3+117040.2+117763.38+119300.42+112550.88+140103.04+131060.3+130975.32</f>
        <v>1499784.29</v>
      </c>
      <c r="N11" s="143" t="s">
        <v>489</v>
      </c>
      <c r="Q11" s="86">
        <v>851</v>
      </c>
    </row>
    <row r="12" spans="1:17" ht="56.25">
      <c r="A12" s="79" t="s">
        <v>280</v>
      </c>
      <c r="B12" s="86" t="s">
        <v>871</v>
      </c>
      <c r="C12" s="80">
        <f t="shared" ref="C12:C75" si="0">Q12*$Q$1</f>
        <v>85100000</v>
      </c>
      <c r="D12" s="81" t="s">
        <v>281</v>
      </c>
      <c r="E12" s="86" t="s">
        <v>283</v>
      </c>
      <c r="F12" s="86">
        <v>140024799</v>
      </c>
      <c r="G12" s="86" t="s">
        <v>32</v>
      </c>
      <c r="H12" s="87" t="s">
        <v>307</v>
      </c>
      <c r="I12" s="83">
        <v>404945164</v>
      </c>
      <c r="J12" s="138" t="s">
        <v>488</v>
      </c>
      <c r="K12" s="139">
        <v>1630443</v>
      </c>
      <c r="L12" s="88">
        <v>1628107</v>
      </c>
      <c r="M12" s="89">
        <f>105885.76+14999+113454.85+115621.63+115430.62+116681.73+121583.61+129126.92+123915.95+123321.93+125791.35+120901.45+121890.06</f>
        <v>1448604.86</v>
      </c>
      <c r="N12" s="143" t="s">
        <v>489</v>
      </c>
      <c r="Q12" s="86">
        <v>851</v>
      </c>
    </row>
    <row r="13" spans="1:17" ht="56.25">
      <c r="A13" s="79" t="s">
        <v>280</v>
      </c>
      <c r="B13" s="86" t="s">
        <v>871</v>
      </c>
      <c r="C13" s="80">
        <f t="shared" si="0"/>
        <v>85100000</v>
      </c>
      <c r="D13" s="81" t="s">
        <v>281</v>
      </c>
      <c r="E13" s="86" t="s">
        <v>283</v>
      </c>
      <c r="F13" s="86">
        <v>140024909</v>
      </c>
      <c r="G13" s="86" t="s">
        <v>34</v>
      </c>
      <c r="H13" s="87" t="s">
        <v>306</v>
      </c>
      <c r="I13" s="83">
        <v>204954843</v>
      </c>
      <c r="J13" s="138" t="s">
        <v>490</v>
      </c>
      <c r="K13" s="139">
        <v>1259180</v>
      </c>
      <c r="L13" s="88">
        <v>1259180</v>
      </c>
      <c r="M13" s="89">
        <f>63000+93795.53+91282.81+93273.26+96698.57+95169+92870.67+94419.13+93035.52+91051.17+93018.55+63198.94+61138.98</f>
        <v>1121952.1300000001</v>
      </c>
      <c r="N13" s="143" t="s">
        <v>489</v>
      </c>
      <c r="Q13" s="86">
        <v>851</v>
      </c>
    </row>
    <row r="14" spans="1:17" ht="56.25">
      <c r="A14" s="79" t="s">
        <v>280</v>
      </c>
      <c r="B14" s="86" t="s">
        <v>871</v>
      </c>
      <c r="C14" s="80">
        <f t="shared" si="0"/>
        <v>85100000</v>
      </c>
      <c r="D14" s="81" t="s">
        <v>281</v>
      </c>
      <c r="E14" s="86" t="s">
        <v>283</v>
      </c>
      <c r="F14" s="86">
        <v>140020469</v>
      </c>
      <c r="G14" s="86" t="s">
        <v>30</v>
      </c>
      <c r="H14" s="87" t="s">
        <v>305</v>
      </c>
      <c r="I14" s="83">
        <v>203834716</v>
      </c>
      <c r="J14" s="138" t="s">
        <v>491</v>
      </c>
      <c r="K14" s="139">
        <v>754000</v>
      </c>
      <c r="L14" s="88">
        <v>746949</v>
      </c>
      <c r="M14" s="89">
        <f>25545.67+92458.34+46968.69+90427.24+77159.66+76009.16+67345.05+42659.65+43631.72+19825.9+19263.35+34506.82+22057.24+17880.55</f>
        <v>675739.04</v>
      </c>
      <c r="N14" s="143" t="s">
        <v>489</v>
      </c>
      <c r="Q14" s="86">
        <v>851</v>
      </c>
    </row>
    <row r="15" spans="1:17" ht="56.25">
      <c r="A15" s="79" t="s">
        <v>280</v>
      </c>
      <c r="B15" s="86" t="s">
        <v>871</v>
      </c>
      <c r="C15" s="80">
        <f t="shared" si="0"/>
        <v>85100000</v>
      </c>
      <c r="D15" s="81" t="s">
        <v>281</v>
      </c>
      <c r="E15" s="86" t="s">
        <v>283</v>
      </c>
      <c r="F15" s="86">
        <v>140024593</v>
      </c>
      <c r="G15" s="86" t="s">
        <v>33</v>
      </c>
      <c r="H15" s="87" t="s">
        <v>304</v>
      </c>
      <c r="I15" s="83">
        <v>203862855</v>
      </c>
      <c r="J15" s="138" t="s">
        <v>488</v>
      </c>
      <c r="K15" s="139">
        <v>327135</v>
      </c>
      <c r="L15" s="88">
        <v>327135</v>
      </c>
      <c r="M15" s="89">
        <f>10000+21785.91+21249.76+23131.21+23010.97+23828.72+27124.35+25751.69+29636.05+36883.98+23601.43+17258.87+18294</f>
        <v>301556.94</v>
      </c>
      <c r="N15" s="143" t="s">
        <v>489</v>
      </c>
      <c r="Q15" s="86">
        <v>851</v>
      </c>
    </row>
    <row r="16" spans="1:17" ht="56.25">
      <c r="A16" s="79" t="s">
        <v>280</v>
      </c>
      <c r="B16" s="86" t="s">
        <v>871</v>
      </c>
      <c r="C16" s="80">
        <f t="shared" si="0"/>
        <v>85100000</v>
      </c>
      <c r="D16" s="81" t="s">
        <v>281</v>
      </c>
      <c r="E16" s="86" t="s">
        <v>283</v>
      </c>
      <c r="F16" s="86">
        <v>140024798</v>
      </c>
      <c r="G16" s="86" t="s">
        <v>35</v>
      </c>
      <c r="H16" s="87" t="s">
        <v>303</v>
      </c>
      <c r="I16" s="83">
        <v>205176780</v>
      </c>
      <c r="J16" s="138" t="s">
        <v>490</v>
      </c>
      <c r="K16" s="139">
        <v>3211321</v>
      </c>
      <c r="L16" s="88">
        <v>3211321</v>
      </c>
      <c r="M16" s="89">
        <f>214637.76+35770+217108.04+243141.22+254514.65+237278.44+239822.47+230630.9+247543.76+229721.41+233861.66+207250.19+232931.9</f>
        <v>2824212.4</v>
      </c>
      <c r="N16" s="143" t="s">
        <v>489</v>
      </c>
      <c r="Q16" s="86">
        <v>851</v>
      </c>
    </row>
    <row r="17" spans="1:17" ht="56.25">
      <c r="A17" s="79" t="s">
        <v>280</v>
      </c>
      <c r="B17" s="90" t="s">
        <v>872</v>
      </c>
      <c r="C17" s="80">
        <f t="shared" si="0"/>
        <v>85100000</v>
      </c>
      <c r="D17" s="81" t="s">
        <v>281</v>
      </c>
      <c r="E17" s="90" t="s">
        <v>283</v>
      </c>
      <c r="F17" s="90">
        <v>140027747</v>
      </c>
      <c r="G17" s="90" t="s">
        <v>37</v>
      </c>
      <c r="H17" s="91" t="s">
        <v>301</v>
      </c>
      <c r="I17" s="92">
        <v>202172139</v>
      </c>
      <c r="J17" s="138" t="s">
        <v>492</v>
      </c>
      <c r="K17" s="139">
        <v>1515000</v>
      </c>
      <c r="L17" s="93">
        <v>1460797</v>
      </c>
      <c r="M17" s="94">
        <f>60725.9+69800+62537.3+61629+64895.1+63642.4+74267.9+66759.8+63247.9+78032.3+68994+77270.36</f>
        <v>811801.96</v>
      </c>
      <c r="N17" s="143" t="s">
        <v>489</v>
      </c>
      <c r="Q17" s="90">
        <v>851</v>
      </c>
    </row>
    <row r="18" spans="1:17" ht="56.25">
      <c r="A18" s="79" t="s">
        <v>280</v>
      </c>
      <c r="B18" s="86" t="s">
        <v>871</v>
      </c>
      <c r="C18" s="80">
        <f t="shared" si="0"/>
        <v>80500000</v>
      </c>
      <c r="D18" s="95" t="s">
        <v>370</v>
      </c>
      <c r="E18" s="86" t="s">
        <v>841</v>
      </c>
      <c r="F18" s="86">
        <v>140030475</v>
      </c>
      <c r="G18" s="86" t="s">
        <v>372</v>
      </c>
      <c r="H18" s="87" t="s">
        <v>304</v>
      </c>
      <c r="I18" s="96">
        <v>203862855</v>
      </c>
      <c r="J18" s="138" t="s">
        <v>371</v>
      </c>
      <c r="K18" s="139">
        <v>82215</v>
      </c>
      <c r="L18" s="88">
        <v>49000</v>
      </c>
      <c r="M18" s="89">
        <f>1500+4708.28+5345.15+5260.27+5558.37+5299.79+5373.49+5210.65+5703.47+3709.87</f>
        <v>47669.340000000004</v>
      </c>
      <c r="N18" s="143"/>
      <c r="Q18" s="86">
        <v>805</v>
      </c>
    </row>
    <row r="19" spans="1:17" ht="56.25">
      <c r="A19" s="79" t="s">
        <v>280</v>
      </c>
      <c r="B19" s="86" t="s">
        <v>871</v>
      </c>
      <c r="C19" s="80">
        <f t="shared" si="0"/>
        <v>79400000</v>
      </c>
      <c r="D19" s="95" t="s">
        <v>373</v>
      </c>
      <c r="E19" s="86" t="s">
        <v>841</v>
      </c>
      <c r="F19" s="86">
        <v>150002244</v>
      </c>
      <c r="G19" s="86" t="s">
        <v>375</v>
      </c>
      <c r="H19" s="87" t="s">
        <v>376</v>
      </c>
      <c r="I19" s="83">
        <v>454406170</v>
      </c>
      <c r="J19" s="138" t="s">
        <v>374</v>
      </c>
      <c r="K19" s="139">
        <v>58600</v>
      </c>
      <c r="L19" s="88">
        <v>56700</v>
      </c>
      <c r="M19" s="89">
        <f>5500+1405.25+4325+5917.28+5230.9+4820.94+7392.91+2302.5+5625.17+7208.07</f>
        <v>49728.02</v>
      </c>
      <c r="N19" s="143"/>
      <c r="Q19" s="86">
        <v>794</v>
      </c>
    </row>
    <row r="20" spans="1:17" ht="56.25">
      <c r="A20" s="79" t="s">
        <v>280</v>
      </c>
      <c r="B20" s="86" t="s">
        <v>871</v>
      </c>
      <c r="C20" s="80">
        <f t="shared" si="0"/>
        <v>85300000</v>
      </c>
      <c r="D20" s="95" t="s">
        <v>377</v>
      </c>
      <c r="E20" s="86" t="s">
        <v>283</v>
      </c>
      <c r="F20" s="86">
        <v>140030893</v>
      </c>
      <c r="G20" s="86" t="s">
        <v>379</v>
      </c>
      <c r="H20" s="87" t="s">
        <v>306</v>
      </c>
      <c r="I20" s="83">
        <v>204954843</v>
      </c>
      <c r="J20" s="138" t="s">
        <v>378</v>
      </c>
      <c r="K20" s="139">
        <v>241000</v>
      </c>
      <c r="L20" s="88">
        <v>251860.68</v>
      </c>
      <c r="M20" s="89">
        <f>27728+20544.9+18664.12+21974.88+29958.51+20444.27+18935.34+18739.73+18964.18</f>
        <v>195953.93</v>
      </c>
      <c r="N20" s="143"/>
      <c r="Q20" s="86">
        <v>853</v>
      </c>
    </row>
    <row r="21" spans="1:17" ht="56.25">
      <c r="A21" s="79" t="s">
        <v>280</v>
      </c>
      <c r="B21" s="86" t="s">
        <v>871</v>
      </c>
      <c r="C21" s="80">
        <f t="shared" si="0"/>
        <v>85300000</v>
      </c>
      <c r="D21" s="95" t="s">
        <v>380</v>
      </c>
      <c r="E21" s="86" t="s">
        <v>283</v>
      </c>
      <c r="F21" s="86">
        <v>150002246</v>
      </c>
      <c r="G21" s="124" t="s">
        <v>382</v>
      </c>
      <c r="H21" s="87" t="s">
        <v>376</v>
      </c>
      <c r="I21" s="83">
        <v>454406170</v>
      </c>
      <c r="J21" s="138" t="s">
        <v>381</v>
      </c>
      <c r="K21" s="139">
        <v>34300</v>
      </c>
      <c r="L21" s="84">
        <v>33400</v>
      </c>
      <c r="M21" s="89">
        <f>2500+1857.92+2362.3+2901.54+3527.17+7745.56+161.7+991.79+4180.81+3828.73</f>
        <v>30057.520000000004</v>
      </c>
      <c r="N21" s="143"/>
      <c r="Q21" s="98">
        <v>853</v>
      </c>
    </row>
    <row r="22" spans="1:17" ht="56.25">
      <c r="A22" s="79" t="s">
        <v>280</v>
      </c>
      <c r="B22" s="86" t="s">
        <v>871</v>
      </c>
      <c r="C22" s="80">
        <f t="shared" si="0"/>
        <v>9100000</v>
      </c>
      <c r="D22" s="95" t="s">
        <v>493</v>
      </c>
      <c r="E22" s="86" t="s">
        <v>43</v>
      </c>
      <c r="F22" s="86">
        <v>150003816</v>
      </c>
      <c r="G22" s="86" t="s">
        <v>385</v>
      </c>
      <c r="H22" s="86" t="s">
        <v>81</v>
      </c>
      <c r="I22" s="96">
        <v>204493002</v>
      </c>
      <c r="J22" s="138" t="s">
        <v>475</v>
      </c>
      <c r="K22" s="139"/>
      <c r="L22" s="88">
        <v>5000</v>
      </c>
      <c r="M22" s="89">
        <f>413.4+436.23+356.46+535.5+99+341+1102.25+1420.17</f>
        <v>4704.01</v>
      </c>
      <c r="N22" s="143"/>
      <c r="Q22" s="99" t="s">
        <v>383</v>
      </c>
    </row>
    <row r="23" spans="1:17" ht="56.25">
      <c r="A23" s="79" t="s">
        <v>280</v>
      </c>
      <c r="B23" s="86" t="s">
        <v>872</v>
      </c>
      <c r="C23" s="80">
        <f t="shared" si="0"/>
        <v>9100000</v>
      </c>
      <c r="D23" s="95" t="s">
        <v>493</v>
      </c>
      <c r="E23" s="86" t="s">
        <v>43</v>
      </c>
      <c r="F23" s="86">
        <v>150003838</v>
      </c>
      <c r="G23" s="97" t="s">
        <v>494</v>
      </c>
      <c r="H23" s="86" t="s">
        <v>81</v>
      </c>
      <c r="I23" s="83">
        <v>204493002</v>
      </c>
      <c r="J23" s="138" t="s">
        <v>475</v>
      </c>
      <c r="K23" s="139"/>
      <c r="L23" s="84">
        <v>5533.2</v>
      </c>
      <c r="M23" s="89">
        <f>122.4+290.68+132+144+425+156+372.5+449.5+279+366.46</f>
        <v>2737.54</v>
      </c>
      <c r="N23" s="143"/>
      <c r="Q23" s="98" t="s">
        <v>383</v>
      </c>
    </row>
    <row r="24" spans="1:17" ht="112.5">
      <c r="A24" s="79" t="s">
        <v>280</v>
      </c>
      <c r="B24" s="86" t="s">
        <v>874</v>
      </c>
      <c r="C24" s="80">
        <f t="shared" si="0"/>
        <v>9100000</v>
      </c>
      <c r="D24" s="95" t="s">
        <v>495</v>
      </c>
      <c r="E24" s="86" t="s">
        <v>43</v>
      </c>
      <c r="F24" s="86">
        <v>150003691</v>
      </c>
      <c r="G24" s="97" t="s">
        <v>387</v>
      </c>
      <c r="H24" s="86" t="s">
        <v>85</v>
      </c>
      <c r="I24" s="83">
        <v>204976302</v>
      </c>
      <c r="J24" s="138" t="s">
        <v>475</v>
      </c>
      <c r="K24" s="139"/>
      <c r="L24" s="84">
        <v>261687.6</v>
      </c>
      <c r="M24" s="89">
        <f>15706.79+13714.32+363.47+5776.2+267.87+12289.97+725.19+11984.38+6159.6+348.63+13622.58+768.6+6865.25+380.56+15157.64+899.44+7374.12+604.82+7556.14+355.2+15785.43+988.8+12411.86+686.68+6880.67+331.24+20199.5+6128.3+577.5+13613.36+563.21+12175.84+222.6+5853.01+256.01+13001.05+321.18+5854.41+397.5</f>
        <v>237168.91999999998</v>
      </c>
      <c r="N24" s="143"/>
      <c r="Q24" s="98" t="s">
        <v>383</v>
      </c>
    </row>
    <row r="25" spans="1:17" ht="56.25">
      <c r="A25" s="79" t="s">
        <v>280</v>
      </c>
      <c r="B25" s="86" t="s">
        <v>871</v>
      </c>
      <c r="C25" s="80">
        <f t="shared" si="0"/>
        <v>79500000</v>
      </c>
      <c r="D25" s="95" t="s">
        <v>340</v>
      </c>
      <c r="E25" s="86" t="s">
        <v>13</v>
      </c>
      <c r="F25" s="86">
        <v>150019912</v>
      </c>
      <c r="G25" s="97" t="s">
        <v>388</v>
      </c>
      <c r="H25" s="86" t="s">
        <v>268</v>
      </c>
      <c r="I25" s="83">
        <v>204544029</v>
      </c>
      <c r="J25" s="138" t="s">
        <v>476</v>
      </c>
      <c r="K25" s="139"/>
      <c r="L25" s="84">
        <v>1700</v>
      </c>
      <c r="M25" s="89">
        <f>29.5+394.87+529.05+112.1+41.8+21.8+44.39+179.78+65.71+232.62+20.83</f>
        <v>1672.4499999999998</v>
      </c>
      <c r="N25" s="143"/>
      <c r="Q25" s="98">
        <v>795</v>
      </c>
    </row>
    <row r="26" spans="1:17" ht="56.25">
      <c r="A26" s="79" t="s">
        <v>280</v>
      </c>
      <c r="B26" s="86" t="s">
        <v>872</v>
      </c>
      <c r="C26" s="80">
        <f t="shared" si="0"/>
        <v>63100000</v>
      </c>
      <c r="D26" s="95" t="s">
        <v>315</v>
      </c>
      <c r="E26" s="86" t="s">
        <v>13</v>
      </c>
      <c r="F26" s="86">
        <v>150019916</v>
      </c>
      <c r="G26" s="97" t="s">
        <v>389</v>
      </c>
      <c r="H26" s="86" t="s">
        <v>390</v>
      </c>
      <c r="I26" s="83">
        <v>208145176</v>
      </c>
      <c r="J26" s="138" t="s">
        <v>477</v>
      </c>
      <c r="K26" s="139"/>
      <c r="L26" s="84">
        <v>500</v>
      </c>
      <c r="M26" s="89">
        <f>207.92+88.76+43.18</f>
        <v>339.86</v>
      </c>
      <c r="N26" s="143"/>
      <c r="Q26" s="98">
        <v>631</v>
      </c>
    </row>
    <row r="27" spans="1:17" ht="56.25">
      <c r="A27" s="79" t="s">
        <v>280</v>
      </c>
      <c r="B27" s="86" t="s">
        <v>871</v>
      </c>
      <c r="C27" s="80">
        <f t="shared" si="0"/>
        <v>66500000</v>
      </c>
      <c r="D27" s="95" t="s">
        <v>496</v>
      </c>
      <c r="E27" s="86" t="s">
        <v>13</v>
      </c>
      <c r="F27" s="86">
        <v>150026928</v>
      </c>
      <c r="G27" s="97" t="s">
        <v>392</v>
      </c>
      <c r="H27" s="86" t="s">
        <v>393</v>
      </c>
      <c r="I27" s="83">
        <v>204970031</v>
      </c>
      <c r="J27" s="138" t="s">
        <v>478</v>
      </c>
      <c r="K27" s="139"/>
      <c r="L27" s="84">
        <v>463.88</v>
      </c>
      <c r="M27" s="89">
        <v>463.88</v>
      </c>
      <c r="N27" s="143"/>
      <c r="Q27" s="98">
        <v>665</v>
      </c>
    </row>
    <row r="28" spans="1:17" ht="56.25">
      <c r="A28" s="79" t="s">
        <v>280</v>
      </c>
      <c r="B28" s="86" t="s">
        <v>872</v>
      </c>
      <c r="C28" s="80">
        <f t="shared" si="0"/>
        <v>64100000</v>
      </c>
      <c r="D28" s="95" t="s">
        <v>38</v>
      </c>
      <c r="E28" s="86" t="s">
        <v>13</v>
      </c>
      <c r="F28" s="86">
        <v>150026941</v>
      </c>
      <c r="G28" s="97" t="s">
        <v>394</v>
      </c>
      <c r="H28" s="86" t="s">
        <v>41</v>
      </c>
      <c r="I28" s="83">
        <v>201954965</v>
      </c>
      <c r="J28" s="138" t="s">
        <v>479</v>
      </c>
      <c r="K28" s="139"/>
      <c r="L28" s="84">
        <v>700</v>
      </c>
      <c r="M28" s="89">
        <f>449.97+161.2</f>
        <v>611.17000000000007</v>
      </c>
      <c r="N28" s="143"/>
      <c r="Q28" s="98">
        <v>641</v>
      </c>
    </row>
    <row r="29" spans="1:17" ht="56.25">
      <c r="A29" s="79" t="s">
        <v>280</v>
      </c>
      <c r="B29" s="86" t="s">
        <v>872</v>
      </c>
      <c r="C29" s="80">
        <f t="shared" si="0"/>
        <v>72400000</v>
      </c>
      <c r="D29" s="95" t="s">
        <v>347</v>
      </c>
      <c r="E29" s="86" t="s">
        <v>13</v>
      </c>
      <c r="F29" s="86">
        <v>150026953</v>
      </c>
      <c r="G29" s="97" t="s">
        <v>395</v>
      </c>
      <c r="H29" s="86" t="s">
        <v>396</v>
      </c>
      <c r="I29" s="83">
        <v>205277369</v>
      </c>
      <c r="J29" s="138" t="s">
        <v>479</v>
      </c>
      <c r="K29" s="139"/>
      <c r="L29" s="84">
        <v>300</v>
      </c>
      <c r="M29" s="89">
        <f>25+25+25+25+25+25+25+25+25+25+25+25</f>
        <v>300</v>
      </c>
      <c r="N29" s="143"/>
      <c r="Q29" s="98">
        <v>724</v>
      </c>
    </row>
    <row r="30" spans="1:17" ht="112.5">
      <c r="A30" s="79" t="s">
        <v>280</v>
      </c>
      <c r="B30" s="86" t="s">
        <v>874</v>
      </c>
      <c r="C30" s="80">
        <f t="shared" si="0"/>
        <v>64200000</v>
      </c>
      <c r="D30" s="95" t="s">
        <v>57</v>
      </c>
      <c r="E30" s="86" t="s">
        <v>43</v>
      </c>
      <c r="F30" s="86">
        <v>150048424</v>
      </c>
      <c r="G30" s="97" t="s">
        <v>398</v>
      </c>
      <c r="H30" s="86" t="s">
        <v>60</v>
      </c>
      <c r="I30" s="83">
        <v>204876606</v>
      </c>
      <c r="J30" s="138" t="s">
        <v>397</v>
      </c>
      <c r="K30" s="139"/>
      <c r="L30" s="84">
        <v>6175</v>
      </c>
      <c r="M30" s="100">
        <f>216.12+264.02+264.83+363.29+317.88+344.46+341.53+302.68+335.54+324.73+7.15+341.81</f>
        <v>3424.04</v>
      </c>
      <c r="N30" s="143"/>
      <c r="Q30" s="98">
        <v>642</v>
      </c>
    </row>
    <row r="31" spans="1:17" ht="56.25">
      <c r="A31" s="79" t="s">
        <v>280</v>
      </c>
      <c r="B31" s="86" t="s">
        <v>871</v>
      </c>
      <c r="C31" s="80">
        <f t="shared" si="0"/>
        <v>22800000</v>
      </c>
      <c r="D31" s="95" t="s">
        <v>65</v>
      </c>
      <c r="E31" s="86" t="s">
        <v>13</v>
      </c>
      <c r="F31" s="86">
        <v>150048791</v>
      </c>
      <c r="G31" s="97" t="s">
        <v>400</v>
      </c>
      <c r="H31" s="86" t="s">
        <v>401</v>
      </c>
      <c r="I31" s="83">
        <v>204447312</v>
      </c>
      <c r="J31" s="138" t="s">
        <v>399</v>
      </c>
      <c r="K31" s="139"/>
      <c r="L31" s="84">
        <v>797.13</v>
      </c>
      <c r="M31" s="89">
        <v>797.13</v>
      </c>
      <c r="N31" s="143"/>
      <c r="Q31" s="98">
        <v>228</v>
      </c>
    </row>
    <row r="32" spans="1:17" ht="56.25">
      <c r="A32" s="79" t="s">
        <v>280</v>
      </c>
      <c r="B32" s="86" t="s">
        <v>872</v>
      </c>
      <c r="C32" s="80">
        <f t="shared" si="0"/>
        <v>30100000</v>
      </c>
      <c r="D32" s="95" t="s">
        <v>65</v>
      </c>
      <c r="E32" s="86" t="s">
        <v>13</v>
      </c>
      <c r="F32" s="86">
        <v>150048798</v>
      </c>
      <c r="G32" s="97" t="s">
        <v>402</v>
      </c>
      <c r="H32" s="86" t="s">
        <v>401</v>
      </c>
      <c r="I32" s="83">
        <v>204447312</v>
      </c>
      <c r="J32" s="138" t="s">
        <v>399</v>
      </c>
      <c r="K32" s="139"/>
      <c r="L32" s="84">
        <v>2021.55</v>
      </c>
      <c r="M32" s="89">
        <v>2021.55</v>
      </c>
      <c r="N32" s="143"/>
      <c r="Q32" s="98">
        <v>301</v>
      </c>
    </row>
    <row r="33" spans="1:17" ht="56.25">
      <c r="A33" s="79" t="s">
        <v>280</v>
      </c>
      <c r="B33" s="86" t="s">
        <v>871</v>
      </c>
      <c r="C33" s="80">
        <f t="shared" si="0"/>
        <v>33700000</v>
      </c>
      <c r="D33" s="95" t="s">
        <v>403</v>
      </c>
      <c r="E33" s="86" t="s">
        <v>13</v>
      </c>
      <c r="F33" s="86">
        <v>150048680</v>
      </c>
      <c r="G33" s="97" t="s">
        <v>405</v>
      </c>
      <c r="H33" s="86" t="s">
        <v>89</v>
      </c>
      <c r="I33" s="83">
        <v>206172078</v>
      </c>
      <c r="J33" s="138" t="s">
        <v>404</v>
      </c>
      <c r="K33" s="139"/>
      <c r="L33" s="84">
        <v>543.54999999999995</v>
      </c>
      <c r="M33" s="89">
        <v>543.54999999999995</v>
      </c>
      <c r="N33" s="143"/>
      <c r="Q33" s="98">
        <v>337</v>
      </c>
    </row>
    <row r="34" spans="1:17" ht="56.25">
      <c r="A34" s="79" t="s">
        <v>280</v>
      </c>
      <c r="B34" s="86" t="s">
        <v>871</v>
      </c>
      <c r="C34" s="80">
        <f t="shared" si="0"/>
        <v>39800000</v>
      </c>
      <c r="D34" s="95" t="s">
        <v>406</v>
      </c>
      <c r="E34" s="86" t="s">
        <v>13</v>
      </c>
      <c r="F34" s="86">
        <v>150048700</v>
      </c>
      <c r="G34" s="97" t="s">
        <v>407</v>
      </c>
      <c r="H34" s="86" t="s">
        <v>89</v>
      </c>
      <c r="I34" s="83">
        <v>206172078</v>
      </c>
      <c r="J34" s="138" t="s">
        <v>404</v>
      </c>
      <c r="K34" s="139"/>
      <c r="L34" s="84">
        <v>411.25</v>
      </c>
      <c r="M34" s="89">
        <v>411.25</v>
      </c>
      <c r="N34" s="143"/>
      <c r="Q34" s="98">
        <v>398</v>
      </c>
    </row>
    <row r="35" spans="1:17" ht="56.25">
      <c r="A35" s="79" t="s">
        <v>280</v>
      </c>
      <c r="B35" s="86" t="s">
        <v>871</v>
      </c>
      <c r="C35" s="80">
        <f t="shared" si="0"/>
        <v>50100000</v>
      </c>
      <c r="D35" s="95" t="s">
        <v>408</v>
      </c>
      <c r="E35" s="86" t="s">
        <v>13</v>
      </c>
      <c r="F35" s="86">
        <v>150048801</v>
      </c>
      <c r="G35" s="97" t="s">
        <v>410</v>
      </c>
      <c r="H35" s="86" t="s">
        <v>207</v>
      </c>
      <c r="I35" s="83">
        <v>202177205</v>
      </c>
      <c r="J35" s="138" t="s">
        <v>409</v>
      </c>
      <c r="K35" s="139"/>
      <c r="L35" s="84">
        <v>739</v>
      </c>
      <c r="M35" s="89">
        <v>739</v>
      </c>
      <c r="N35" s="143"/>
      <c r="Q35" s="98">
        <v>501</v>
      </c>
    </row>
    <row r="36" spans="1:17" ht="56.25">
      <c r="A36" s="79" t="s">
        <v>280</v>
      </c>
      <c r="B36" s="86" t="s">
        <v>872</v>
      </c>
      <c r="C36" s="80">
        <f t="shared" si="0"/>
        <v>33100000</v>
      </c>
      <c r="D36" s="95" t="s">
        <v>411</v>
      </c>
      <c r="E36" s="86" t="s">
        <v>283</v>
      </c>
      <c r="F36" s="86">
        <v>140030892</v>
      </c>
      <c r="G36" s="97" t="s">
        <v>413</v>
      </c>
      <c r="H36" s="86" t="s">
        <v>414</v>
      </c>
      <c r="I36" s="83">
        <v>404901834</v>
      </c>
      <c r="J36" s="138" t="s">
        <v>497</v>
      </c>
      <c r="K36" s="139">
        <v>32790</v>
      </c>
      <c r="L36" s="84">
        <f>15000*1.608</f>
        <v>24120</v>
      </c>
      <c r="M36" s="89">
        <f>14472+9648</f>
        <v>24120</v>
      </c>
      <c r="N36" s="143"/>
      <c r="Q36" s="98">
        <v>331</v>
      </c>
    </row>
    <row r="37" spans="1:17" ht="56.25">
      <c r="A37" s="79" t="s">
        <v>280</v>
      </c>
      <c r="B37" s="86" t="s">
        <v>871</v>
      </c>
      <c r="C37" s="80">
        <f t="shared" si="0"/>
        <v>79300000</v>
      </c>
      <c r="D37" s="95" t="s">
        <v>337</v>
      </c>
      <c r="E37" s="86" t="s">
        <v>13</v>
      </c>
      <c r="F37" s="86">
        <v>150050787</v>
      </c>
      <c r="G37" s="97" t="s">
        <v>416</v>
      </c>
      <c r="H37" s="86" t="s">
        <v>498</v>
      </c>
      <c r="I37" s="83">
        <v>205035282</v>
      </c>
      <c r="J37" s="138" t="s">
        <v>415</v>
      </c>
      <c r="K37" s="139"/>
      <c r="L37" s="84">
        <v>180</v>
      </c>
      <c r="M37" s="89">
        <f>90+30</f>
        <v>120</v>
      </c>
      <c r="N37" s="143"/>
      <c r="Q37" s="98">
        <v>793</v>
      </c>
    </row>
    <row r="38" spans="1:17" ht="112.5">
      <c r="A38" s="79" t="s">
        <v>280</v>
      </c>
      <c r="B38" s="86" t="s">
        <v>874</v>
      </c>
      <c r="C38" s="80">
        <f t="shared" si="0"/>
        <v>79200000</v>
      </c>
      <c r="D38" s="95" t="s">
        <v>418</v>
      </c>
      <c r="E38" s="86" t="s">
        <v>841</v>
      </c>
      <c r="F38" s="86">
        <v>150001345</v>
      </c>
      <c r="G38" s="97" t="s">
        <v>420</v>
      </c>
      <c r="H38" s="86" t="s">
        <v>421</v>
      </c>
      <c r="I38" s="83">
        <v>404437695</v>
      </c>
      <c r="J38" s="138" t="s">
        <v>499</v>
      </c>
      <c r="K38" s="139">
        <v>70000</v>
      </c>
      <c r="L38" s="84">
        <v>58950</v>
      </c>
      <c r="M38" s="89">
        <v>58950</v>
      </c>
      <c r="N38" s="143"/>
      <c r="Q38" s="98">
        <v>792</v>
      </c>
    </row>
    <row r="39" spans="1:17" ht="56.25">
      <c r="A39" s="79" t="s">
        <v>280</v>
      </c>
      <c r="B39" s="86" t="s">
        <v>871</v>
      </c>
      <c r="C39" s="80">
        <f t="shared" si="0"/>
        <v>33100000</v>
      </c>
      <c r="D39" s="95" t="s">
        <v>842</v>
      </c>
      <c r="E39" s="86" t="s">
        <v>283</v>
      </c>
      <c r="F39" s="86">
        <v>140031012</v>
      </c>
      <c r="G39" s="97" t="s">
        <v>500</v>
      </c>
      <c r="H39" s="86" t="s">
        <v>118</v>
      </c>
      <c r="I39" s="83">
        <v>202203123</v>
      </c>
      <c r="J39" s="138" t="s">
        <v>501</v>
      </c>
      <c r="K39" s="139">
        <v>132000</v>
      </c>
      <c r="L39" s="84">
        <v>132000</v>
      </c>
      <c r="M39" s="89">
        <v>132000</v>
      </c>
      <c r="N39" s="143"/>
      <c r="Q39" s="98">
        <v>331</v>
      </c>
    </row>
    <row r="40" spans="1:17" ht="56.25">
      <c r="A40" s="79" t="s">
        <v>280</v>
      </c>
      <c r="B40" s="86" t="s">
        <v>871</v>
      </c>
      <c r="C40" s="80">
        <f t="shared" si="0"/>
        <v>33100000</v>
      </c>
      <c r="D40" s="95" t="s">
        <v>502</v>
      </c>
      <c r="E40" s="86" t="s">
        <v>283</v>
      </c>
      <c r="F40" s="86">
        <v>140031015</v>
      </c>
      <c r="G40" s="97" t="s">
        <v>503</v>
      </c>
      <c r="H40" s="86" t="s">
        <v>185</v>
      </c>
      <c r="I40" s="83">
        <v>204918544</v>
      </c>
      <c r="J40" s="138" t="s">
        <v>501</v>
      </c>
      <c r="K40" s="139">
        <v>40400</v>
      </c>
      <c r="L40" s="84">
        <v>32470</v>
      </c>
      <c r="M40" s="89">
        <f>31500+970</f>
        <v>32470</v>
      </c>
      <c r="N40" s="143"/>
      <c r="Q40" s="98">
        <v>331</v>
      </c>
    </row>
    <row r="41" spans="1:17" ht="56.25">
      <c r="A41" s="79" t="s">
        <v>280</v>
      </c>
      <c r="B41" s="86" t="s">
        <v>872</v>
      </c>
      <c r="C41" s="80">
        <f t="shared" si="0"/>
        <v>33100000</v>
      </c>
      <c r="D41" s="95" t="s">
        <v>504</v>
      </c>
      <c r="E41" s="86" t="s">
        <v>283</v>
      </c>
      <c r="F41" s="86">
        <v>150000993</v>
      </c>
      <c r="G41" s="97" t="s">
        <v>429</v>
      </c>
      <c r="H41" s="86" t="s">
        <v>414</v>
      </c>
      <c r="I41" s="83">
        <v>404901834</v>
      </c>
      <c r="J41" s="138" t="s">
        <v>505</v>
      </c>
      <c r="K41" s="139">
        <v>13000</v>
      </c>
      <c r="L41" s="84">
        <v>9997</v>
      </c>
      <c r="M41" s="89">
        <f>2099+7898</f>
        <v>9997</v>
      </c>
      <c r="N41" s="143"/>
      <c r="Q41" s="98">
        <v>331</v>
      </c>
    </row>
    <row r="42" spans="1:17" ht="56.25">
      <c r="A42" s="79" t="s">
        <v>280</v>
      </c>
      <c r="B42" s="86" t="s">
        <v>871</v>
      </c>
      <c r="C42" s="80">
        <f t="shared" si="0"/>
        <v>50100000</v>
      </c>
      <c r="D42" s="95" t="s">
        <v>430</v>
      </c>
      <c r="E42" s="86" t="s">
        <v>13</v>
      </c>
      <c r="F42" s="86">
        <v>150059166</v>
      </c>
      <c r="G42" s="97" t="s">
        <v>432</v>
      </c>
      <c r="H42" s="86" t="s">
        <v>433</v>
      </c>
      <c r="I42" s="83" t="s">
        <v>434</v>
      </c>
      <c r="J42" s="138" t="s">
        <v>431</v>
      </c>
      <c r="K42" s="139"/>
      <c r="L42" s="84">
        <f>60*7</f>
        <v>420</v>
      </c>
      <c r="M42" s="89">
        <f>63+98+35+14+21+14</f>
        <v>245</v>
      </c>
      <c r="N42" s="143"/>
      <c r="Q42" s="98">
        <v>501</v>
      </c>
    </row>
    <row r="43" spans="1:17" ht="56.25">
      <c r="A43" s="79" t="s">
        <v>280</v>
      </c>
      <c r="B43" s="86" t="s">
        <v>872</v>
      </c>
      <c r="C43" s="80">
        <f t="shared" si="0"/>
        <v>79800000</v>
      </c>
      <c r="D43" s="95" t="s">
        <v>314</v>
      </c>
      <c r="E43" s="86" t="s">
        <v>841</v>
      </c>
      <c r="F43" s="86">
        <v>150004408</v>
      </c>
      <c r="G43" s="97" t="s">
        <v>436</v>
      </c>
      <c r="H43" s="86" t="s">
        <v>95</v>
      </c>
      <c r="I43" s="83">
        <v>401988890</v>
      </c>
      <c r="J43" s="138" t="s">
        <v>506</v>
      </c>
      <c r="K43" s="139">
        <v>20000</v>
      </c>
      <c r="L43" s="84">
        <v>11950</v>
      </c>
      <c r="M43" s="89">
        <f>10401+70+1220+99</f>
        <v>11790</v>
      </c>
      <c r="N43" s="143"/>
      <c r="Q43" s="98">
        <v>798</v>
      </c>
    </row>
    <row r="44" spans="1:17" ht="56.25">
      <c r="A44" s="79" t="s">
        <v>280</v>
      </c>
      <c r="B44" s="86" t="s">
        <v>871</v>
      </c>
      <c r="C44" s="80">
        <f t="shared" si="0"/>
        <v>63100000</v>
      </c>
      <c r="D44" s="95" t="s">
        <v>38</v>
      </c>
      <c r="E44" s="86" t="s">
        <v>13</v>
      </c>
      <c r="F44" s="86">
        <v>150064504</v>
      </c>
      <c r="G44" s="97" t="s">
        <v>438</v>
      </c>
      <c r="H44" s="86" t="s">
        <v>41</v>
      </c>
      <c r="I44" s="83">
        <v>201954965</v>
      </c>
      <c r="J44" s="138" t="s">
        <v>507</v>
      </c>
      <c r="K44" s="139"/>
      <c r="L44" s="84">
        <v>100</v>
      </c>
      <c r="M44" s="89">
        <v>30</v>
      </c>
      <c r="N44" s="143"/>
      <c r="Q44" s="98">
        <v>631</v>
      </c>
    </row>
    <row r="45" spans="1:17" ht="56.25">
      <c r="A45" s="79" t="s">
        <v>280</v>
      </c>
      <c r="B45" s="86" t="s">
        <v>871</v>
      </c>
      <c r="C45" s="80">
        <f t="shared" si="0"/>
        <v>63100000</v>
      </c>
      <c r="D45" s="95" t="s">
        <v>315</v>
      </c>
      <c r="E45" s="86" t="s">
        <v>13</v>
      </c>
      <c r="F45" s="86">
        <v>150067493</v>
      </c>
      <c r="G45" s="97" t="s">
        <v>440</v>
      </c>
      <c r="H45" s="86" t="s">
        <v>390</v>
      </c>
      <c r="I45" s="83">
        <v>208145176</v>
      </c>
      <c r="J45" s="138" t="s">
        <v>508</v>
      </c>
      <c r="K45" s="139"/>
      <c r="L45" s="84">
        <v>500</v>
      </c>
      <c r="M45" s="89">
        <v>169.63</v>
      </c>
      <c r="N45" s="143"/>
      <c r="Q45" s="98">
        <v>631</v>
      </c>
    </row>
    <row r="46" spans="1:17" ht="56.25">
      <c r="A46" s="79" t="s">
        <v>280</v>
      </c>
      <c r="B46" s="86" t="s">
        <v>871</v>
      </c>
      <c r="C46" s="80">
        <f t="shared" si="0"/>
        <v>9200000</v>
      </c>
      <c r="D46" s="95" t="s">
        <v>320</v>
      </c>
      <c r="E46" s="86" t="s">
        <v>13</v>
      </c>
      <c r="F46" s="86">
        <v>150066720</v>
      </c>
      <c r="G46" s="97" t="s">
        <v>443</v>
      </c>
      <c r="H46" s="86" t="s">
        <v>444</v>
      </c>
      <c r="I46" s="83">
        <v>404878806</v>
      </c>
      <c r="J46" s="138" t="s">
        <v>509</v>
      </c>
      <c r="K46" s="139"/>
      <c r="L46" s="84">
        <v>162</v>
      </c>
      <c r="M46" s="89">
        <v>162</v>
      </c>
      <c r="N46" s="143"/>
      <c r="Q46" s="98" t="s">
        <v>441</v>
      </c>
    </row>
    <row r="47" spans="1:17" ht="56.25">
      <c r="A47" s="79" t="s">
        <v>280</v>
      </c>
      <c r="B47" s="86" t="s">
        <v>872</v>
      </c>
      <c r="C47" s="80">
        <f t="shared" si="0"/>
        <v>31400000</v>
      </c>
      <c r="D47" s="95" t="s">
        <v>510</v>
      </c>
      <c r="E47" s="86" t="s">
        <v>841</v>
      </c>
      <c r="F47" s="86">
        <v>150002923</v>
      </c>
      <c r="G47" s="97" t="s">
        <v>447</v>
      </c>
      <c r="H47" s="86" t="s">
        <v>448</v>
      </c>
      <c r="I47" s="83">
        <v>202052054</v>
      </c>
      <c r="J47" s="138" t="s">
        <v>446</v>
      </c>
      <c r="K47" s="139">
        <v>12720</v>
      </c>
      <c r="L47" s="84">
        <v>12720</v>
      </c>
      <c r="M47" s="89">
        <v>12720</v>
      </c>
      <c r="N47" s="143"/>
      <c r="Q47" s="98">
        <v>314</v>
      </c>
    </row>
    <row r="48" spans="1:17" ht="56.25">
      <c r="A48" s="79" t="s">
        <v>280</v>
      </c>
      <c r="B48" s="86" t="s">
        <v>871</v>
      </c>
      <c r="C48" s="80">
        <f t="shared" si="0"/>
        <v>33600000</v>
      </c>
      <c r="D48" s="95" t="s">
        <v>511</v>
      </c>
      <c r="E48" s="86" t="s">
        <v>283</v>
      </c>
      <c r="F48" s="86">
        <v>150004086</v>
      </c>
      <c r="G48" s="97" t="s">
        <v>450</v>
      </c>
      <c r="H48" s="86" t="s">
        <v>255</v>
      </c>
      <c r="I48" s="83">
        <v>202161640</v>
      </c>
      <c r="J48" s="138" t="s">
        <v>472</v>
      </c>
      <c r="K48" s="139">
        <f>1710*8</f>
        <v>13680</v>
      </c>
      <c r="L48" s="84">
        <v>13680</v>
      </c>
      <c r="M48" s="89">
        <v>13680</v>
      </c>
      <c r="N48" s="143"/>
      <c r="Q48" s="98">
        <v>336</v>
      </c>
    </row>
    <row r="49" spans="1:17" ht="56.25">
      <c r="A49" s="79" t="s">
        <v>280</v>
      </c>
      <c r="B49" s="86" t="s">
        <v>871</v>
      </c>
      <c r="C49" s="80">
        <f t="shared" si="0"/>
        <v>33600000</v>
      </c>
      <c r="D49" s="95" t="s">
        <v>512</v>
      </c>
      <c r="E49" s="86" t="s">
        <v>283</v>
      </c>
      <c r="F49" s="86">
        <v>150005065</v>
      </c>
      <c r="G49" s="97" t="s">
        <v>452</v>
      </c>
      <c r="H49" s="86" t="s">
        <v>255</v>
      </c>
      <c r="I49" s="83">
        <v>202161640</v>
      </c>
      <c r="J49" s="138" t="s">
        <v>473</v>
      </c>
      <c r="K49" s="139">
        <v>14380</v>
      </c>
      <c r="L49" s="84">
        <v>11823.15</v>
      </c>
      <c r="M49" s="89">
        <f>3470.4+2762.4+5590.35</f>
        <v>11823.150000000001</v>
      </c>
      <c r="N49" s="143"/>
      <c r="Q49" s="98">
        <v>336</v>
      </c>
    </row>
    <row r="50" spans="1:17" ht="56.25">
      <c r="A50" s="79" t="s">
        <v>280</v>
      </c>
      <c r="B50" s="86" t="s">
        <v>871</v>
      </c>
      <c r="C50" s="80">
        <f t="shared" si="0"/>
        <v>9200000</v>
      </c>
      <c r="D50" s="95" t="s">
        <v>320</v>
      </c>
      <c r="E50" s="86" t="s">
        <v>13</v>
      </c>
      <c r="F50" s="86">
        <v>150073452</v>
      </c>
      <c r="G50" s="97" t="s">
        <v>453</v>
      </c>
      <c r="H50" s="86" t="s">
        <v>444</v>
      </c>
      <c r="I50" s="83">
        <v>404878806</v>
      </c>
      <c r="J50" s="138" t="s">
        <v>474</v>
      </c>
      <c r="K50" s="139"/>
      <c r="L50" s="88">
        <v>498</v>
      </c>
      <c r="M50" s="89">
        <f>45+234+45+150</f>
        <v>474</v>
      </c>
      <c r="N50" s="143"/>
      <c r="Q50" s="98" t="s">
        <v>441</v>
      </c>
    </row>
    <row r="51" spans="1:17" ht="56.25">
      <c r="A51" s="79" t="s">
        <v>280</v>
      </c>
      <c r="B51" s="86" t="s">
        <v>872</v>
      </c>
      <c r="C51" s="80">
        <f t="shared" si="0"/>
        <v>33600000</v>
      </c>
      <c r="D51" s="95" t="s">
        <v>513</v>
      </c>
      <c r="E51" s="86" t="s">
        <v>13</v>
      </c>
      <c r="F51" s="86">
        <v>150073502</v>
      </c>
      <c r="G51" s="97" t="s">
        <v>456</v>
      </c>
      <c r="H51" s="86" t="s">
        <v>106</v>
      </c>
      <c r="I51" s="83">
        <v>201991229</v>
      </c>
      <c r="J51" s="138" t="s">
        <v>514</v>
      </c>
      <c r="K51" s="139"/>
      <c r="L51" s="88">
        <v>6190</v>
      </c>
      <c r="M51" s="89">
        <v>6190</v>
      </c>
      <c r="N51" s="143"/>
      <c r="Q51" s="98" t="s">
        <v>515</v>
      </c>
    </row>
    <row r="52" spans="1:17" ht="56.25">
      <c r="A52" s="79" t="s">
        <v>280</v>
      </c>
      <c r="B52" s="86" t="s">
        <v>871</v>
      </c>
      <c r="C52" s="80">
        <f t="shared" si="0"/>
        <v>33600000</v>
      </c>
      <c r="D52" s="101" t="s">
        <v>843</v>
      </c>
      <c r="E52" s="86" t="s">
        <v>13</v>
      </c>
      <c r="F52" s="86">
        <v>150073497</v>
      </c>
      <c r="G52" s="97" t="s">
        <v>458</v>
      </c>
      <c r="H52" s="86" t="s">
        <v>106</v>
      </c>
      <c r="I52" s="83">
        <v>201991229</v>
      </c>
      <c r="J52" s="138" t="s">
        <v>514</v>
      </c>
      <c r="K52" s="139"/>
      <c r="L52" s="88">
        <v>1500</v>
      </c>
      <c r="M52" s="89">
        <v>1500</v>
      </c>
      <c r="N52" s="143"/>
      <c r="Q52" s="98" t="s">
        <v>515</v>
      </c>
    </row>
    <row r="53" spans="1:17" ht="56.25">
      <c r="A53" s="79" t="s">
        <v>280</v>
      </c>
      <c r="B53" s="86" t="s">
        <v>872</v>
      </c>
      <c r="C53" s="80">
        <f t="shared" si="0"/>
        <v>33600000</v>
      </c>
      <c r="D53" s="95" t="s">
        <v>513</v>
      </c>
      <c r="E53" s="86" t="s">
        <v>13</v>
      </c>
      <c r="F53" s="86">
        <v>150073510</v>
      </c>
      <c r="G53" s="97" t="s">
        <v>459</v>
      </c>
      <c r="H53" s="86" t="s">
        <v>160</v>
      </c>
      <c r="I53" s="83">
        <v>204927767</v>
      </c>
      <c r="J53" s="138" t="s">
        <v>514</v>
      </c>
      <c r="K53" s="139"/>
      <c r="L53" s="88">
        <v>2994.2</v>
      </c>
      <c r="M53" s="89">
        <v>2994.2</v>
      </c>
      <c r="N53" s="143"/>
      <c r="Q53" s="98" t="s">
        <v>515</v>
      </c>
    </row>
    <row r="54" spans="1:17" ht="56.25">
      <c r="A54" s="79" t="s">
        <v>280</v>
      </c>
      <c r="B54" s="86" t="s">
        <v>871</v>
      </c>
      <c r="C54" s="80">
        <f t="shared" si="0"/>
        <v>33600000</v>
      </c>
      <c r="D54" s="101" t="s">
        <v>843</v>
      </c>
      <c r="E54" s="86" t="s">
        <v>13</v>
      </c>
      <c r="F54" s="86">
        <v>150073509</v>
      </c>
      <c r="G54" s="97" t="s">
        <v>460</v>
      </c>
      <c r="H54" s="86" t="s">
        <v>160</v>
      </c>
      <c r="I54" s="83">
        <v>204927767</v>
      </c>
      <c r="J54" s="138" t="s">
        <v>514</v>
      </c>
      <c r="K54" s="139"/>
      <c r="L54" s="88">
        <v>1755.37</v>
      </c>
      <c r="M54" s="89">
        <v>1755.37</v>
      </c>
      <c r="N54" s="143"/>
      <c r="Q54" s="98" t="s">
        <v>515</v>
      </c>
    </row>
    <row r="55" spans="1:17" ht="56.25">
      <c r="A55" s="79" t="s">
        <v>280</v>
      </c>
      <c r="B55" s="86" t="s">
        <v>872</v>
      </c>
      <c r="C55" s="80">
        <f t="shared" si="0"/>
        <v>33600000</v>
      </c>
      <c r="D55" s="95" t="s">
        <v>513</v>
      </c>
      <c r="E55" s="86" t="s">
        <v>13</v>
      </c>
      <c r="F55" s="86">
        <v>150073513</v>
      </c>
      <c r="G55" s="97" t="s">
        <v>461</v>
      </c>
      <c r="H55" s="86" t="s">
        <v>129</v>
      </c>
      <c r="I55" s="83">
        <v>202203123</v>
      </c>
      <c r="J55" s="138" t="s">
        <v>514</v>
      </c>
      <c r="K55" s="139"/>
      <c r="L55" s="88">
        <v>2172.7800000000002</v>
      </c>
      <c r="M55" s="89">
        <v>2172.7800000000002</v>
      </c>
      <c r="N55" s="143"/>
      <c r="Q55" s="98" t="s">
        <v>515</v>
      </c>
    </row>
    <row r="56" spans="1:17" ht="56.25">
      <c r="A56" s="79" t="s">
        <v>280</v>
      </c>
      <c r="B56" s="86" t="s">
        <v>871</v>
      </c>
      <c r="C56" s="80">
        <f t="shared" si="0"/>
        <v>33600000</v>
      </c>
      <c r="D56" s="101" t="s">
        <v>843</v>
      </c>
      <c r="E56" s="86" t="s">
        <v>13</v>
      </c>
      <c r="F56" s="86">
        <v>150073514</v>
      </c>
      <c r="G56" s="102" t="s">
        <v>462</v>
      </c>
      <c r="H56" s="86" t="s">
        <v>129</v>
      </c>
      <c r="I56" s="83">
        <v>202203123</v>
      </c>
      <c r="J56" s="138" t="s">
        <v>514</v>
      </c>
      <c r="K56" s="139"/>
      <c r="L56" s="88">
        <v>2259.08</v>
      </c>
      <c r="M56" s="89">
        <v>2259.08</v>
      </c>
      <c r="N56" s="143"/>
      <c r="Q56" s="98" t="s">
        <v>515</v>
      </c>
    </row>
    <row r="57" spans="1:17" ht="112.5">
      <c r="A57" s="79" t="s">
        <v>280</v>
      </c>
      <c r="B57" s="86" t="s">
        <v>874</v>
      </c>
      <c r="C57" s="80">
        <f t="shared" si="0"/>
        <v>63100000</v>
      </c>
      <c r="D57" s="95" t="s">
        <v>463</v>
      </c>
      <c r="E57" s="86" t="s">
        <v>841</v>
      </c>
      <c r="F57" s="86">
        <v>150007433</v>
      </c>
      <c r="G57" s="97" t="s">
        <v>465</v>
      </c>
      <c r="H57" s="86" t="s">
        <v>466</v>
      </c>
      <c r="I57" s="83">
        <v>206339229</v>
      </c>
      <c r="J57" s="138" t="s">
        <v>516</v>
      </c>
      <c r="K57" s="139">
        <v>82450</v>
      </c>
      <c r="L57" s="88">
        <v>21500</v>
      </c>
      <c r="M57" s="89">
        <f>1161.68+1042.13+103.49+56.12+141.7+317.52+205.03+2781.51+1445.72+792.82+101.73+235.6+639+110.58+52.64+252.6+306.1+935.82+4754.59+1739.59+1066.5+65.66+89.43</f>
        <v>18397.559999999998</v>
      </c>
      <c r="N57" s="143"/>
      <c r="Q57" s="98">
        <v>631</v>
      </c>
    </row>
    <row r="58" spans="1:17" ht="56.25">
      <c r="A58" s="79" t="s">
        <v>280</v>
      </c>
      <c r="B58" s="86" t="s">
        <v>871</v>
      </c>
      <c r="C58" s="80">
        <f t="shared" si="0"/>
        <v>39200000</v>
      </c>
      <c r="D58" s="95" t="s">
        <v>470</v>
      </c>
      <c r="E58" s="86" t="s">
        <v>13</v>
      </c>
      <c r="F58" s="86">
        <v>150080010</v>
      </c>
      <c r="G58" s="97" t="s">
        <v>468</v>
      </c>
      <c r="H58" s="86" t="s">
        <v>469</v>
      </c>
      <c r="I58" s="83">
        <v>401985633</v>
      </c>
      <c r="J58" s="138" t="s">
        <v>517</v>
      </c>
      <c r="K58" s="139"/>
      <c r="L58" s="88"/>
      <c r="M58" s="100"/>
      <c r="N58" s="143" t="s">
        <v>518</v>
      </c>
      <c r="Q58" s="98">
        <v>392</v>
      </c>
    </row>
    <row r="59" spans="1:17" ht="56.25">
      <c r="A59" s="79" t="s">
        <v>280</v>
      </c>
      <c r="B59" s="86" t="s">
        <v>871</v>
      </c>
      <c r="C59" s="80">
        <f t="shared" si="0"/>
        <v>39100000</v>
      </c>
      <c r="D59" s="95" t="s">
        <v>519</v>
      </c>
      <c r="E59" s="86" t="s">
        <v>283</v>
      </c>
      <c r="F59" s="86">
        <v>150007076</v>
      </c>
      <c r="G59" s="102" t="s">
        <v>520</v>
      </c>
      <c r="H59" s="103" t="s">
        <v>521</v>
      </c>
      <c r="I59" s="83">
        <v>200083257</v>
      </c>
      <c r="J59" s="138" t="s">
        <v>522</v>
      </c>
      <c r="K59" s="139">
        <v>36000</v>
      </c>
      <c r="L59" s="89">
        <v>28495</v>
      </c>
      <c r="M59" s="89">
        <v>28495</v>
      </c>
      <c r="N59" s="143"/>
      <c r="Q59" s="86">
        <v>391</v>
      </c>
    </row>
    <row r="60" spans="1:17" ht="56.25">
      <c r="A60" s="79" t="s">
        <v>280</v>
      </c>
      <c r="B60" s="86" t="s">
        <v>871</v>
      </c>
      <c r="C60" s="80">
        <f t="shared" si="0"/>
        <v>33600000</v>
      </c>
      <c r="D60" s="95" t="s">
        <v>523</v>
      </c>
      <c r="E60" s="86" t="s">
        <v>283</v>
      </c>
      <c r="F60" s="86">
        <v>150006579</v>
      </c>
      <c r="G60" s="102" t="s">
        <v>524</v>
      </c>
      <c r="H60" s="103" t="s">
        <v>525</v>
      </c>
      <c r="I60" s="83">
        <v>202364413</v>
      </c>
      <c r="J60" s="138" t="s">
        <v>526</v>
      </c>
      <c r="K60" s="139">
        <v>73125</v>
      </c>
      <c r="L60" s="88">
        <v>44450</v>
      </c>
      <c r="M60" s="89">
        <v>44450</v>
      </c>
      <c r="N60" s="143"/>
      <c r="Q60" s="86">
        <v>336</v>
      </c>
    </row>
    <row r="61" spans="1:17" ht="56.25">
      <c r="A61" s="79" t="s">
        <v>280</v>
      </c>
      <c r="B61" s="86" t="s">
        <v>871</v>
      </c>
      <c r="C61" s="80">
        <f t="shared" si="0"/>
        <v>32500000</v>
      </c>
      <c r="D61" s="95" t="s">
        <v>844</v>
      </c>
      <c r="E61" s="86" t="s">
        <v>13</v>
      </c>
      <c r="F61" s="86">
        <v>150083247</v>
      </c>
      <c r="G61" s="97" t="s">
        <v>527</v>
      </c>
      <c r="H61" s="103" t="s">
        <v>528</v>
      </c>
      <c r="I61" s="83">
        <v>205077593</v>
      </c>
      <c r="J61" s="138" t="s">
        <v>529</v>
      </c>
      <c r="K61" s="139"/>
      <c r="L61" s="88">
        <v>237.1</v>
      </c>
      <c r="M61" s="89">
        <v>237.1</v>
      </c>
      <c r="N61" s="143"/>
      <c r="Q61" s="86">
        <v>325</v>
      </c>
    </row>
    <row r="62" spans="1:17" ht="112.5">
      <c r="A62" s="79" t="s">
        <v>280</v>
      </c>
      <c r="B62" s="86" t="s">
        <v>874</v>
      </c>
      <c r="C62" s="80">
        <f t="shared" si="0"/>
        <v>33100000</v>
      </c>
      <c r="D62" s="95" t="s">
        <v>356</v>
      </c>
      <c r="E62" s="86" t="s">
        <v>283</v>
      </c>
      <c r="F62" s="86">
        <v>150007430</v>
      </c>
      <c r="G62" s="102" t="s">
        <v>530</v>
      </c>
      <c r="H62" s="103" t="s">
        <v>236</v>
      </c>
      <c r="I62" s="83">
        <v>205187091</v>
      </c>
      <c r="J62" s="138" t="s">
        <v>531</v>
      </c>
      <c r="K62" s="139">
        <v>20350</v>
      </c>
      <c r="L62" s="88">
        <v>20150</v>
      </c>
      <c r="M62" s="89">
        <f>6861.6+9120+2408.4+1760</f>
        <v>20150</v>
      </c>
      <c r="N62" s="143"/>
      <c r="Q62" s="86">
        <v>331</v>
      </c>
    </row>
    <row r="63" spans="1:17" ht="56.25">
      <c r="A63" s="79" t="s">
        <v>280</v>
      </c>
      <c r="B63" s="86" t="s">
        <v>871</v>
      </c>
      <c r="C63" s="80">
        <f t="shared" si="0"/>
        <v>44400000</v>
      </c>
      <c r="D63" s="95" t="s">
        <v>532</v>
      </c>
      <c r="E63" s="86" t="s">
        <v>13</v>
      </c>
      <c r="F63" s="86">
        <v>150088848</v>
      </c>
      <c r="G63" s="97" t="s">
        <v>533</v>
      </c>
      <c r="H63" s="86" t="s">
        <v>534</v>
      </c>
      <c r="I63" s="83">
        <v>200204947</v>
      </c>
      <c r="J63" s="138" t="s">
        <v>535</v>
      </c>
      <c r="K63" s="139"/>
      <c r="L63" s="88">
        <v>1500</v>
      </c>
      <c r="M63" s="89">
        <v>1500</v>
      </c>
      <c r="N63" s="143"/>
      <c r="Q63" s="86">
        <v>444</v>
      </c>
    </row>
    <row r="64" spans="1:17" ht="56.25">
      <c r="A64" s="79" t="s">
        <v>280</v>
      </c>
      <c r="B64" s="86" t="s">
        <v>871</v>
      </c>
      <c r="C64" s="80">
        <f t="shared" si="0"/>
        <v>39200000</v>
      </c>
      <c r="D64" s="95" t="s">
        <v>470</v>
      </c>
      <c r="E64" s="86" t="s">
        <v>13</v>
      </c>
      <c r="F64" s="86">
        <v>150088854</v>
      </c>
      <c r="G64" s="86" t="s">
        <v>536</v>
      </c>
      <c r="H64" s="86" t="s">
        <v>537</v>
      </c>
      <c r="I64" s="83">
        <v>200158364</v>
      </c>
      <c r="J64" s="138" t="s">
        <v>538</v>
      </c>
      <c r="K64" s="139"/>
      <c r="L64" s="88">
        <f>142*35</f>
        <v>4970</v>
      </c>
      <c r="M64" s="89">
        <f>70+420+1925+2555</f>
        <v>4970</v>
      </c>
      <c r="N64" s="143"/>
      <c r="Q64" s="86">
        <v>392</v>
      </c>
    </row>
    <row r="65" spans="1:17" ht="56.25">
      <c r="A65" s="79" t="s">
        <v>280</v>
      </c>
      <c r="B65" s="86" t="s">
        <v>871</v>
      </c>
      <c r="C65" s="80">
        <f t="shared" si="0"/>
        <v>30100000</v>
      </c>
      <c r="D65" s="95" t="s">
        <v>52</v>
      </c>
      <c r="E65" s="86" t="s">
        <v>43</v>
      </c>
      <c r="F65" s="86">
        <v>150086776</v>
      </c>
      <c r="G65" s="86" t="s">
        <v>539</v>
      </c>
      <c r="H65" s="104" t="s">
        <v>540</v>
      </c>
      <c r="I65" s="83">
        <v>203868635</v>
      </c>
      <c r="J65" s="138" t="s">
        <v>541</v>
      </c>
      <c r="K65" s="139"/>
      <c r="L65" s="88">
        <f>7.65*200</f>
        <v>1530</v>
      </c>
      <c r="M65" s="89">
        <v>1530</v>
      </c>
      <c r="N65" s="143"/>
      <c r="Q65" s="86">
        <v>301</v>
      </c>
    </row>
    <row r="66" spans="1:17" ht="56.25">
      <c r="A66" s="79" t="s">
        <v>280</v>
      </c>
      <c r="B66" s="86" t="s">
        <v>872</v>
      </c>
      <c r="C66" s="80">
        <f t="shared" si="0"/>
        <v>33600000</v>
      </c>
      <c r="D66" s="95" t="s">
        <v>542</v>
      </c>
      <c r="E66" s="86" t="s">
        <v>283</v>
      </c>
      <c r="F66" s="86">
        <v>150008086</v>
      </c>
      <c r="G66" s="102" t="s">
        <v>543</v>
      </c>
      <c r="H66" s="86" t="s">
        <v>106</v>
      </c>
      <c r="I66" s="83">
        <v>201991229</v>
      </c>
      <c r="J66" s="138" t="s">
        <v>544</v>
      </c>
      <c r="K66" s="139">
        <v>7560</v>
      </c>
      <c r="L66" s="88">
        <v>7560</v>
      </c>
      <c r="M66" s="89">
        <v>7560</v>
      </c>
      <c r="N66" s="143"/>
      <c r="Q66" s="86">
        <v>336</v>
      </c>
    </row>
    <row r="67" spans="1:17" ht="56.25">
      <c r="A67" s="79" t="s">
        <v>280</v>
      </c>
      <c r="B67" s="86" t="s">
        <v>872</v>
      </c>
      <c r="C67" s="80">
        <f t="shared" si="0"/>
        <v>24900000</v>
      </c>
      <c r="D67" s="95" t="s">
        <v>845</v>
      </c>
      <c r="E67" s="86" t="s">
        <v>13</v>
      </c>
      <c r="F67" s="86">
        <v>150088862</v>
      </c>
      <c r="G67" s="86" t="s">
        <v>545</v>
      </c>
      <c r="H67" s="86" t="s">
        <v>106</v>
      </c>
      <c r="I67" s="83">
        <v>201991229</v>
      </c>
      <c r="J67" s="138" t="s">
        <v>544</v>
      </c>
      <c r="K67" s="139"/>
      <c r="L67" s="106">
        <v>653.08000000000004</v>
      </c>
      <c r="M67" s="89">
        <v>653.08000000000004</v>
      </c>
      <c r="N67" s="143"/>
      <c r="Q67" s="107">
        <v>249</v>
      </c>
    </row>
    <row r="68" spans="1:17" ht="56.25">
      <c r="A68" s="79" t="s">
        <v>280</v>
      </c>
      <c r="B68" s="86" t="s">
        <v>871</v>
      </c>
      <c r="C68" s="80">
        <f t="shared" si="0"/>
        <v>33100000</v>
      </c>
      <c r="D68" s="95" t="s">
        <v>546</v>
      </c>
      <c r="E68" s="86" t="s">
        <v>283</v>
      </c>
      <c r="F68" s="86">
        <v>150007432</v>
      </c>
      <c r="G68" s="102" t="s">
        <v>547</v>
      </c>
      <c r="H68" s="86" t="s">
        <v>185</v>
      </c>
      <c r="I68" s="83">
        <v>204918544</v>
      </c>
      <c r="J68" s="138" t="s">
        <v>548</v>
      </c>
      <c r="K68" s="139">
        <v>90300</v>
      </c>
      <c r="L68" s="88">
        <v>40800</v>
      </c>
      <c r="M68" s="89">
        <f>39000+1800</f>
        <v>40800</v>
      </c>
      <c r="N68" s="143"/>
      <c r="Q68" s="86">
        <v>331</v>
      </c>
    </row>
    <row r="69" spans="1:17" ht="56.25">
      <c r="A69" s="79" t="s">
        <v>280</v>
      </c>
      <c r="B69" s="86" t="s">
        <v>871</v>
      </c>
      <c r="C69" s="80">
        <f t="shared" si="0"/>
        <v>33100000</v>
      </c>
      <c r="D69" s="95" t="s">
        <v>549</v>
      </c>
      <c r="E69" s="86" t="s">
        <v>283</v>
      </c>
      <c r="F69" s="86">
        <v>150008088</v>
      </c>
      <c r="G69" s="102" t="s">
        <v>550</v>
      </c>
      <c r="H69" s="86" t="s">
        <v>185</v>
      </c>
      <c r="I69" s="83">
        <v>204918544</v>
      </c>
      <c r="J69" s="138" t="s">
        <v>551</v>
      </c>
      <c r="K69" s="139">
        <v>12740</v>
      </c>
      <c r="L69" s="88">
        <v>12328</v>
      </c>
      <c r="M69" s="89">
        <f>11500+828</f>
        <v>12328</v>
      </c>
      <c r="N69" s="143"/>
      <c r="Q69" s="86">
        <v>331</v>
      </c>
    </row>
    <row r="70" spans="1:17" ht="112.5">
      <c r="A70" s="79" t="s">
        <v>280</v>
      </c>
      <c r="B70" s="86" t="s">
        <v>874</v>
      </c>
      <c r="C70" s="80">
        <f t="shared" si="0"/>
        <v>38400000</v>
      </c>
      <c r="D70" s="95" t="s">
        <v>552</v>
      </c>
      <c r="E70" s="86" t="s">
        <v>841</v>
      </c>
      <c r="F70" s="86">
        <v>150009710</v>
      </c>
      <c r="G70" s="102" t="s">
        <v>553</v>
      </c>
      <c r="H70" s="86" t="s">
        <v>185</v>
      </c>
      <c r="I70" s="83">
        <v>204918544</v>
      </c>
      <c r="J70" s="138" t="s">
        <v>548</v>
      </c>
      <c r="K70" s="139">
        <v>60500</v>
      </c>
      <c r="L70" s="88">
        <v>35053</v>
      </c>
      <c r="M70" s="89">
        <f>34000+1053</f>
        <v>35053</v>
      </c>
      <c r="N70" s="143"/>
      <c r="Q70" s="86">
        <v>384</v>
      </c>
    </row>
    <row r="71" spans="1:17" ht="56.25">
      <c r="A71" s="79" t="s">
        <v>280</v>
      </c>
      <c r="B71" s="86" t="s">
        <v>872</v>
      </c>
      <c r="C71" s="80">
        <f t="shared" si="0"/>
        <v>33600000</v>
      </c>
      <c r="D71" s="95" t="s">
        <v>513</v>
      </c>
      <c r="E71" s="86" t="s">
        <v>283</v>
      </c>
      <c r="F71" s="86">
        <v>150008085</v>
      </c>
      <c r="G71" s="102" t="s">
        <v>554</v>
      </c>
      <c r="H71" s="86" t="s">
        <v>129</v>
      </c>
      <c r="I71" s="83">
        <v>202203123</v>
      </c>
      <c r="J71" s="138" t="s">
        <v>555</v>
      </c>
      <c r="K71" s="139">
        <v>48325</v>
      </c>
      <c r="L71" s="88">
        <v>31863</v>
      </c>
      <c r="M71" s="89">
        <f>31085+778</f>
        <v>31863</v>
      </c>
      <c r="N71" s="143"/>
      <c r="Q71" s="86">
        <v>336</v>
      </c>
    </row>
    <row r="72" spans="1:17" ht="56.25">
      <c r="A72" s="79" t="s">
        <v>280</v>
      </c>
      <c r="B72" s="97" t="s">
        <v>871</v>
      </c>
      <c r="C72" s="80">
        <f t="shared" si="0"/>
        <v>33600000</v>
      </c>
      <c r="D72" s="95" t="s">
        <v>556</v>
      </c>
      <c r="E72" s="86" t="s">
        <v>283</v>
      </c>
      <c r="F72" s="86">
        <v>150009857</v>
      </c>
      <c r="G72" s="102" t="s">
        <v>557</v>
      </c>
      <c r="H72" s="103" t="s">
        <v>558</v>
      </c>
      <c r="I72" s="83">
        <v>404977502</v>
      </c>
      <c r="J72" s="138" t="s">
        <v>559</v>
      </c>
      <c r="K72" s="139">
        <v>199589</v>
      </c>
      <c r="L72" s="88">
        <v>199589</v>
      </c>
      <c r="M72" s="89">
        <f>104589+95000</f>
        <v>199589</v>
      </c>
      <c r="N72" s="143"/>
      <c r="Q72" s="86">
        <v>336</v>
      </c>
    </row>
    <row r="73" spans="1:17" ht="112.5">
      <c r="A73" s="79" t="s">
        <v>280</v>
      </c>
      <c r="B73" s="86" t="s">
        <v>874</v>
      </c>
      <c r="C73" s="80">
        <f t="shared" si="0"/>
        <v>33100000</v>
      </c>
      <c r="D73" s="95" t="s">
        <v>560</v>
      </c>
      <c r="E73" s="86" t="s">
        <v>283</v>
      </c>
      <c r="F73" s="86">
        <v>150009709</v>
      </c>
      <c r="G73" s="102" t="s">
        <v>561</v>
      </c>
      <c r="H73" s="86" t="s">
        <v>562</v>
      </c>
      <c r="I73" s="83">
        <v>404877077</v>
      </c>
      <c r="J73" s="138" t="s">
        <v>563</v>
      </c>
      <c r="K73" s="139">
        <v>30600</v>
      </c>
      <c r="L73" s="88">
        <v>20327</v>
      </c>
      <c r="M73" s="89">
        <f>6325.88+462.24+9180+4358.88</f>
        <v>20327</v>
      </c>
      <c r="N73" s="143"/>
      <c r="Q73" s="86">
        <v>331</v>
      </c>
    </row>
    <row r="74" spans="1:17" ht="56.25">
      <c r="A74" s="79" t="s">
        <v>280</v>
      </c>
      <c r="B74" s="86" t="s">
        <v>872</v>
      </c>
      <c r="C74" s="80">
        <f t="shared" si="0"/>
        <v>33100000</v>
      </c>
      <c r="D74" s="95" t="s">
        <v>564</v>
      </c>
      <c r="E74" s="86" t="s">
        <v>283</v>
      </c>
      <c r="F74" s="86">
        <v>150009961</v>
      </c>
      <c r="G74" s="102" t="s">
        <v>565</v>
      </c>
      <c r="H74" s="86" t="s">
        <v>185</v>
      </c>
      <c r="I74" s="83">
        <v>204918544</v>
      </c>
      <c r="J74" s="138" t="s">
        <v>566</v>
      </c>
      <c r="K74" s="139">
        <v>163478</v>
      </c>
      <c r="L74" s="88">
        <f>163478-420</f>
        <v>163058</v>
      </c>
      <c r="M74" s="89">
        <f>83485+5558+73875+140</f>
        <v>163058</v>
      </c>
      <c r="N74" s="143"/>
      <c r="Q74" s="86">
        <v>331</v>
      </c>
    </row>
    <row r="75" spans="1:17" ht="56.25">
      <c r="A75" s="79" t="s">
        <v>280</v>
      </c>
      <c r="B75" s="86" t="s">
        <v>872</v>
      </c>
      <c r="C75" s="80">
        <f t="shared" si="0"/>
        <v>15900000</v>
      </c>
      <c r="D75" s="95" t="s">
        <v>567</v>
      </c>
      <c r="E75" s="86" t="s">
        <v>13</v>
      </c>
      <c r="F75" s="86">
        <v>150097261</v>
      </c>
      <c r="G75" s="86" t="s">
        <v>568</v>
      </c>
      <c r="H75" s="86" t="s">
        <v>569</v>
      </c>
      <c r="I75" s="83">
        <v>226146872</v>
      </c>
      <c r="J75" s="138" t="s">
        <v>570</v>
      </c>
      <c r="K75" s="139"/>
      <c r="L75" s="88">
        <v>595.20000000000005</v>
      </c>
      <c r="M75" s="89">
        <f>74.4+74.4+74.4+74.4+74.4+60+64.4+64.4</f>
        <v>560.79999999999995</v>
      </c>
      <c r="N75" s="143"/>
      <c r="Q75" s="86">
        <v>159</v>
      </c>
    </row>
    <row r="76" spans="1:17" ht="56.25">
      <c r="A76" s="79" t="s">
        <v>280</v>
      </c>
      <c r="B76" s="86" t="s">
        <v>871</v>
      </c>
      <c r="C76" s="80">
        <f t="shared" ref="C76:C139" si="1">Q76*$Q$1</f>
        <v>31400000</v>
      </c>
      <c r="D76" s="95" t="s">
        <v>510</v>
      </c>
      <c r="E76" s="86" t="s">
        <v>841</v>
      </c>
      <c r="F76" s="86">
        <v>150011611</v>
      </c>
      <c r="G76" s="102" t="s">
        <v>571</v>
      </c>
      <c r="H76" s="86" t="s">
        <v>448</v>
      </c>
      <c r="I76" s="83">
        <v>202052054</v>
      </c>
      <c r="J76" s="138" t="s">
        <v>572</v>
      </c>
      <c r="K76" s="139">
        <v>4200</v>
      </c>
      <c r="L76" s="88">
        <v>3996</v>
      </c>
      <c r="M76" s="89">
        <f>1332+2664</f>
        <v>3996</v>
      </c>
      <c r="N76" s="143"/>
      <c r="Q76" s="86">
        <v>314</v>
      </c>
    </row>
    <row r="77" spans="1:17" ht="56.25">
      <c r="A77" s="79" t="s">
        <v>280</v>
      </c>
      <c r="B77" s="86" t="s">
        <v>871</v>
      </c>
      <c r="C77" s="80">
        <f t="shared" si="1"/>
        <v>38600000</v>
      </c>
      <c r="D77" s="95" t="s">
        <v>573</v>
      </c>
      <c r="E77" s="86" t="s">
        <v>841</v>
      </c>
      <c r="F77" s="86">
        <v>150012000</v>
      </c>
      <c r="G77" s="102" t="s">
        <v>574</v>
      </c>
      <c r="H77" s="86" t="s">
        <v>575</v>
      </c>
      <c r="I77" s="83">
        <v>404431432</v>
      </c>
      <c r="J77" s="138" t="s">
        <v>576</v>
      </c>
      <c r="K77" s="139">
        <f>(584*6+126*6)*2.25+215</f>
        <v>9800</v>
      </c>
      <c r="L77" s="88">
        <v>8950</v>
      </c>
      <c r="M77" s="89">
        <f>8712+238</f>
        <v>8950</v>
      </c>
      <c r="N77" s="143"/>
      <c r="Q77" s="86">
        <v>386</v>
      </c>
    </row>
    <row r="78" spans="1:17" ht="112.5">
      <c r="A78" s="79" t="s">
        <v>280</v>
      </c>
      <c r="B78" s="86" t="s">
        <v>874</v>
      </c>
      <c r="C78" s="80">
        <f t="shared" si="1"/>
        <v>30200000</v>
      </c>
      <c r="D78" s="95" t="s">
        <v>577</v>
      </c>
      <c r="E78" s="86" t="s">
        <v>841</v>
      </c>
      <c r="F78" s="86">
        <v>150011999</v>
      </c>
      <c r="G78" s="102" t="s">
        <v>578</v>
      </c>
      <c r="H78" s="86" t="s">
        <v>448</v>
      </c>
      <c r="I78" s="83">
        <v>202052054</v>
      </c>
      <c r="J78" s="138" t="s">
        <v>576</v>
      </c>
      <c r="K78" s="139">
        <f>(230.15*24+380.5+137*9)*2.2539-0.31</f>
        <v>16085.999690000001</v>
      </c>
      <c r="L78" s="88">
        <v>15873</v>
      </c>
      <c r="M78" s="89">
        <f>2053+4082.5+3587.5+6150</f>
        <v>15873</v>
      </c>
      <c r="N78" s="143"/>
      <c r="Q78" s="86">
        <v>302</v>
      </c>
    </row>
    <row r="79" spans="1:17" ht="56.25">
      <c r="A79" s="79" t="s">
        <v>280</v>
      </c>
      <c r="B79" s="86" t="s">
        <v>871</v>
      </c>
      <c r="C79" s="80">
        <f t="shared" si="1"/>
        <v>42900000</v>
      </c>
      <c r="D79" s="95" t="s">
        <v>579</v>
      </c>
      <c r="E79" s="86" t="s">
        <v>841</v>
      </c>
      <c r="F79" s="86">
        <v>150011610</v>
      </c>
      <c r="G79" s="102" t="s">
        <v>580</v>
      </c>
      <c r="H79" s="86" t="s">
        <v>414</v>
      </c>
      <c r="I79" s="83">
        <v>404901834</v>
      </c>
      <c r="J79" s="138" t="s">
        <v>576</v>
      </c>
      <c r="K79" s="139">
        <v>19800</v>
      </c>
      <c r="L79" s="88">
        <v>19800</v>
      </c>
      <c r="M79" s="89">
        <v>19800</v>
      </c>
      <c r="N79" s="143"/>
      <c r="Q79" s="86">
        <v>429</v>
      </c>
    </row>
    <row r="80" spans="1:17" ht="56.25">
      <c r="A80" s="79" t="s">
        <v>280</v>
      </c>
      <c r="B80" s="86" t="s">
        <v>871</v>
      </c>
      <c r="C80" s="80">
        <f t="shared" si="1"/>
        <v>9200000</v>
      </c>
      <c r="D80" s="95" t="s">
        <v>581</v>
      </c>
      <c r="E80" s="86" t="s">
        <v>13</v>
      </c>
      <c r="F80" s="86">
        <v>150098240</v>
      </c>
      <c r="G80" s="86" t="s">
        <v>582</v>
      </c>
      <c r="H80" s="86" t="s">
        <v>583</v>
      </c>
      <c r="I80" s="98" t="s">
        <v>584</v>
      </c>
      <c r="J80" s="138" t="s">
        <v>585</v>
      </c>
      <c r="K80" s="139"/>
      <c r="L80" s="88">
        <v>30</v>
      </c>
      <c r="M80" s="89">
        <v>30</v>
      </c>
      <c r="N80" s="143"/>
      <c r="Q80" s="98" t="s">
        <v>441</v>
      </c>
    </row>
    <row r="81" spans="1:17" ht="56.25">
      <c r="A81" s="79" t="s">
        <v>280</v>
      </c>
      <c r="B81" s="86" t="s">
        <v>871</v>
      </c>
      <c r="C81" s="80">
        <f t="shared" si="1"/>
        <v>33600000</v>
      </c>
      <c r="D81" s="95" t="s">
        <v>586</v>
      </c>
      <c r="E81" s="86" t="s">
        <v>283</v>
      </c>
      <c r="F81" s="86">
        <v>150010240</v>
      </c>
      <c r="G81" s="102" t="s">
        <v>587</v>
      </c>
      <c r="H81" s="86" t="s">
        <v>133</v>
      </c>
      <c r="I81" s="83">
        <v>204955628</v>
      </c>
      <c r="J81" s="138" t="s">
        <v>588</v>
      </c>
      <c r="K81" s="139">
        <v>65600</v>
      </c>
      <c r="L81" s="88">
        <v>65600</v>
      </c>
      <c r="M81" s="89">
        <f>32800+32800</f>
        <v>65600</v>
      </c>
      <c r="N81" s="143"/>
      <c r="Q81" s="86">
        <v>336</v>
      </c>
    </row>
    <row r="82" spans="1:17" ht="56.25">
      <c r="A82" s="79" t="s">
        <v>280</v>
      </c>
      <c r="B82" s="86" t="s">
        <v>871</v>
      </c>
      <c r="C82" s="80">
        <f t="shared" si="1"/>
        <v>79800000</v>
      </c>
      <c r="D82" s="95" t="s">
        <v>314</v>
      </c>
      <c r="E82" s="86" t="s">
        <v>841</v>
      </c>
      <c r="F82" s="86">
        <v>150012787</v>
      </c>
      <c r="G82" s="102" t="s">
        <v>589</v>
      </c>
      <c r="H82" s="86" t="s">
        <v>590</v>
      </c>
      <c r="I82" s="83">
        <v>400105006</v>
      </c>
      <c r="J82" s="138" t="s">
        <v>591</v>
      </c>
      <c r="K82" s="139">
        <v>11360</v>
      </c>
      <c r="L82" s="84">
        <v>6633</v>
      </c>
      <c r="M82" s="89">
        <f>3923+1430+1184+96</f>
        <v>6633</v>
      </c>
      <c r="N82" s="143"/>
      <c r="Q82" s="98">
        <v>798</v>
      </c>
    </row>
    <row r="83" spans="1:17" ht="56.25">
      <c r="A83" s="79" t="s">
        <v>280</v>
      </c>
      <c r="B83" s="86" t="s">
        <v>871</v>
      </c>
      <c r="C83" s="80">
        <f t="shared" si="1"/>
        <v>42500000</v>
      </c>
      <c r="D83" s="95" t="s">
        <v>592</v>
      </c>
      <c r="E83" s="86" t="s">
        <v>841</v>
      </c>
      <c r="F83" s="86">
        <v>150012666</v>
      </c>
      <c r="G83" s="102" t="s">
        <v>593</v>
      </c>
      <c r="H83" s="86" t="s">
        <v>594</v>
      </c>
      <c r="I83" s="83">
        <v>205295955</v>
      </c>
      <c r="J83" s="138" t="s">
        <v>595</v>
      </c>
      <c r="K83" s="139">
        <f>8*700</f>
        <v>5600</v>
      </c>
      <c r="L83" s="84">
        <v>5600</v>
      </c>
      <c r="M83" s="89">
        <f>700+4200+700</f>
        <v>5600</v>
      </c>
      <c r="N83" s="143"/>
      <c r="Q83" s="86">
        <v>425</v>
      </c>
    </row>
    <row r="84" spans="1:17" ht="56.25">
      <c r="A84" s="79" t="s">
        <v>280</v>
      </c>
      <c r="B84" s="86" t="s">
        <v>872</v>
      </c>
      <c r="C84" s="80">
        <f t="shared" si="1"/>
        <v>33100000</v>
      </c>
      <c r="D84" s="95" t="s">
        <v>596</v>
      </c>
      <c r="E84" s="86" t="s">
        <v>283</v>
      </c>
      <c r="F84" s="86">
        <v>150010533</v>
      </c>
      <c r="G84" s="102" t="s">
        <v>597</v>
      </c>
      <c r="H84" s="86" t="s">
        <v>414</v>
      </c>
      <c r="I84" s="83">
        <v>404901834</v>
      </c>
      <c r="J84" s="138" t="s">
        <v>598</v>
      </c>
      <c r="K84" s="139">
        <v>25194</v>
      </c>
      <c r="L84" s="88">
        <v>13998</v>
      </c>
      <c r="M84" s="89">
        <v>13998</v>
      </c>
      <c r="N84" s="143"/>
      <c r="Q84" s="86">
        <v>331</v>
      </c>
    </row>
    <row r="85" spans="1:17" ht="56.25">
      <c r="A85" s="79" t="s">
        <v>280</v>
      </c>
      <c r="B85" s="86" t="s">
        <v>871</v>
      </c>
      <c r="C85" s="80">
        <f t="shared" si="1"/>
        <v>33100000</v>
      </c>
      <c r="D85" s="95" t="s">
        <v>596</v>
      </c>
      <c r="E85" s="86" t="s">
        <v>283</v>
      </c>
      <c r="F85" s="86">
        <v>150010534</v>
      </c>
      <c r="G85" s="102" t="s">
        <v>599</v>
      </c>
      <c r="H85" s="103" t="s">
        <v>600</v>
      </c>
      <c r="I85" s="83">
        <v>203864586</v>
      </c>
      <c r="J85" s="138" t="s">
        <v>601</v>
      </c>
      <c r="K85" s="139">
        <v>13500</v>
      </c>
      <c r="L85" s="88">
        <v>4704</v>
      </c>
      <c r="M85" s="89">
        <v>4704</v>
      </c>
      <c r="N85" s="143"/>
      <c r="Q85" s="86">
        <v>331</v>
      </c>
    </row>
    <row r="86" spans="1:17" ht="56.25">
      <c r="A86" s="79" t="s">
        <v>280</v>
      </c>
      <c r="B86" s="86" t="s">
        <v>871</v>
      </c>
      <c r="C86" s="80">
        <f t="shared" si="1"/>
        <v>33600000</v>
      </c>
      <c r="D86" s="95" t="s">
        <v>326</v>
      </c>
      <c r="E86" s="86" t="s">
        <v>283</v>
      </c>
      <c r="F86" s="86">
        <v>150011451</v>
      </c>
      <c r="G86" s="102" t="s">
        <v>602</v>
      </c>
      <c r="H86" s="86" t="s">
        <v>185</v>
      </c>
      <c r="I86" s="83">
        <v>204918544</v>
      </c>
      <c r="J86" s="138" t="s">
        <v>603</v>
      </c>
      <c r="K86" s="139">
        <v>374755</v>
      </c>
      <c r="L86" s="88">
        <v>278880</v>
      </c>
      <c r="M86" s="89">
        <f>275000+3880</f>
        <v>278880</v>
      </c>
      <c r="N86" s="143"/>
      <c r="Q86" s="86">
        <v>336</v>
      </c>
    </row>
    <row r="87" spans="1:17" ht="56.25">
      <c r="A87" s="79" t="s">
        <v>280</v>
      </c>
      <c r="B87" s="86" t="s">
        <v>871</v>
      </c>
      <c r="C87" s="80">
        <f t="shared" si="1"/>
        <v>33600000</v>
      </c>
      <c r="D87" s="95" t="s">
        <v>604</v>
      </c>
      <c r="E87" s="86" t="s">
        <v>13</v>
      </c>
      <c r="F87" s="86">
        <v>150111945</v>
      </c>
      <c r="G87" s="102" t="s">
        <v>605</v>
      </c>
      <c r="H87" s="86" t="s">
        <v>606</v>
      </c>
      <c r="I87" s="83" t="s">
        <v>607</v>
      </c>
      <c r="J87" s="138" t="s">
        <v>608</v>
      </c>
      <c r="K87" s="139"/>
      <c r="L87" s="108">
        <v>24804.25</v>
      </c>
      <c r="M87" s="89">
        <f>24799.55</f>
        <v>24799.55</v>
      </c>
      <c r="N87" s="143"/>
      <c r="Q87" s="86">
        <v>336</v>
      </c>
    </row>
    <row r="88" spans="1:17" ht="56.25">
      <c r="A88" s="79" t="s">
        <v>280</v>
      </c>
      <c r="B88" s="86" t="s">
        <v>872</v>
      </c>
      <c r="C88" s="80">
        <f t="shared" si="1"/>
        <v>15900000</v>
      </c>
      <c r="D88" s="95" t="s">
        <v>609</v>
      </c>
      <c r="E88" s="86" t="s">
        <v>13</v>
      </c>
      <c r="F88" s="86">
        <v>150112355</v>
      </c>
      <c r="G88" s="102" t="s">
        <v>610</v>
      </c>
      <c r="H88" s="86" t="s">
        <v>89</v>
      </c>
      <c r="I88" s="83">
        <v>206172078</v>
      </c>
      <c r="J88" s="138" t="s">
        <v>611</v>
      </c>
      <c r="K88" s="139"/>
      <c r="L88" s="88">
        <v>248.25</v>
      </c>
      <c r="M88" s="89">
        <v>248.25</v>
      </c>
      <c r="N88" s="143"/>
      <c r="Q88" s="86">
        <v>159</v>
      </c>
    </row>
    <row r="89" spans="1:17" ht="56.25">
      <c r="A89" s="79" t="s">
        <v>280</v>
      </c>
      <c r="B89" s="86" t="s">
        <v>871</v>
      </c>
      <c r="C89" s="80">
        <f t="shared" si="1"/>
        <v>22800000</v>
      </c>
      <c r="D89" s="95" t="s">
        <v>846</v>
      </c>
      <c r="E89" s="86" t="s">
        <v>13</v>
      </c>
      <c r="F89" s="86">
        <v>150112368</v>
      </c>
      <c r="G89" s="102" t="s">
        <v>612</v>
      </c>
      <c r="H89" s="86" t="s">
        <v>401</v>
      </c>
      <c r="I89" s="83">
        <v>204447312</v>
      </c>
      <c r="J89" s="138" t="s">
        <v>611</v>
      </c>
      <c r="K89" s="139"/>
      <c r="L89" s="88">
        <v>95</v>
      </c>
      <c r="M89" s="89">
        <v>95</v>
      </c>
      <c r="N89" s="143"/>
      <c r="Q89" s="86">
        <v>228</v>
      </c>
    </row>
    <row r="90" spans="1:17" ht="56.25">
      <c r="A90" s="79" t="s">
        <v>280</v>
      </c>
      <c r="B90" s="86" t="s">
        <v>872</v>
      </c>
      <c r="C90" s="80">
        <f t="shared" si="1"/>
        <v>30100000</v>
      </c>
      <c r="D90" s="95" t="s">
        <v>846</v>
      </c>
      <c r="E90" s="86" t="s">
        <v>13</v>
      </c>
      <c r="F90" s="86">
        <v>150112575</v>
      </c>
      <c r="G90" s="102" t="s">
        <v>613</v>
      </c>
      <c r="H90" s="86" t="s">
        <v>401</v>
      </c>
      <c r="I90" s="83">
        <v>204447312</v>
      </c>
      <c r="J90" s="138" t="s">
        <v>611</v>
      </c>
      <c r="K90" s="139"/>
      <c r="L90" s="88">
        <v>67.400000000000006</v>
      </c>
      <c r="M90" s="89">
        <v>67.400000000000006</v>
      </c>
      <c r="N90" s="143"/>
      <c r="Q90" s="86">
        <v>301</v>
      </c>
    </row>
    <row r="91" spans="1:17" ht="56.25">
      <c r="A91" s="79" t="s">
        <v>280</v>
      </c>
      <c r="B91" s="86" t="s">
        <v>871</v>
      </c>
      <c r="C91" s="80">
        <f t="shared" si="1"/>
        <v>55300000</v>
      </c>
      <c r="D91" s="95" t="s">
        <v>614</v>
      </c>
      <c r="E91" s="86" t="s">
        <v>13</v>
      </c>
      <c r="F91" s="86">
        <v>150113927</v>
      </c>
      <c r="G91" s="102" t="s">
        <v>615</v>
      </c>
      <c r="H91" s="86" t="s">
        <v>616</v>
      </c>
      <c r="I91" s="83">
        <v>59001101784</v>
      </c>
      <c r="J91" s="138" t="s">
        <v>617</v>
      </c>
      <c r="K91" s="139"/>
      <c r="L91" s="88">
        <v>1005</v>
      </c>
      <c r="M91" s="89">
        <v>1005</v>
      </c>
      <c r="N91" s="143"/>
      <c r="Q91" s="86">
        <v>553</v>
      </c>
    </row>
    <row r="92" spans="1:17" ht="56.25">
      <c r="A92" s="79" t="s">
        <v>280</v>
      </c>
      <c r="B92" s="86" t="s">
        <v>872</v>
      </c>
      <c r="C92" s="80">
        <f t="shared" si="1"/>
        <v>34300000</v>
      </c>
      <c r="D92" s="95" t="s">
        <v>618</v>
      </c>
      <c r="E92" s="86" t="s">
        <v>13</v>
      </c>
      <c r="F92" s="86">
        <v>150110667</v>
      </c>
      <c r="G92" s="102" t="s">
        <v>619</v>
      </c>
      <c r="H92" s="86" t="s">
        <v>620</v>
      </c>
      <c r="I92" s="83">
        <v>216402701</v>
      </c>
      <c r="J92" s="138" t="s">
        <v>621</v>
      </c>
      <c r="K92" s="139"/>
      <c r="L92" s="88">
        <v>755</v>
      </c>
      <c r="M92" s="89">
        <v>755</v>
      </c>
      <c r="N92" s="143"/>
      <c r="Q92" s="86">
        <v>343</v>
      </c>
    </row>
    <row r="93" spans="1:17" ht="56.25">
      <c r="A93" s="79" t="s">
        <v>280</v>
      </c>
      <c r="B93" s="86" t="s">
        <v>871</v>
      </c>
      <c r="C93" s="80">
        <f t="shared" si="1"/>
        <v>15800000</v>
      </c>
      <c r="D93" s="95" t="s">
        <v>609</v>
      </c>
      <c r="E93" s="86" t="s">
        <v>13</v>
      </c>
      <c r="F93" s="86">
        <v>150112580</v>
      </c>
      <c r="G93" s="102" t="s">
        <v>622</v>
      </c>
      <c r="H93" s="86" t="s">
        <v>89</v>
      </c>
      <c r="I93" s="83">
        <v>206172078</v>
      </c>
      <c r="J93" s="138" t="s">
        <v>611</v>
      </c>
      <c r="K93" s="139"/>
      <c r="L93" s="88">
        <v>704.55</v>
      </c>
      <c r="M93" s="89">
        <v>704.55</v>
      </c>
      <c r="N93" s="143"/>
      <c r="Q93" s="86">
        <v>158</v>
      </c>
    </row>
    <row r="94" spans="1:17" ht="56.25">
      <c r="A94" s="79" t="s">
        <v>280</v>
      </c>
      <c r="B94" s="86" t="s">
        <v>871</v>
      </c>
      <c r="C94" s="80">
        <f t="shared" si="1"/>
        <v>79500000</v>
      </c>
      <c r="D94" s="95" t="s">
        <v>623</v>
      </c>
      <c r="E94" s="86" t="s">
        <v>13</v>
      </c>
      <c r="F94" s="86">
        <v>150113929</v>
      </c>
      <c r="G94" s="86" t="s">
        <v>624</v>
      </c>
      <c r="H94" s="86" t="s">
        <v>625</v>
      </c>
      <c r="I94" s="83">
        <v>405092420</v>
      </c>
      <c r="J94" s="138" t="s">
        <v>626</v>
      </c>
      <c r="K94" s="139"/>
      <c r="L94" s="88">
        <v>1376</v>
      </c>
      <c r="M94" s="89">
        <v>1376</v>
      </c>
      <c r="N94" s="143"/>
      <c r="Q94" s="86">
        <v>795</v>
      </c>
    </row>
    <row r="95" spans="1:17" ht="56.25">
      <c r="A95" s="79" t="s">
        <v>280</v>
      </c>
      <c r="B95" s="86" t="s">
        <v>872</v>
      </c>
      <c r="C95" s="80">
        <f t="shared" si="1"/>
        <v>33100000</v>
      </c>
      <c r="D95" s="95" t="s">
        <v>847</v>
      </c>
      <c r="E95" s="86" t="s">
        <v>283</v>
      </c>
      <c r="F95" s="86">
        <v>150009708</v>
      </c>
      <c r="G95" s="102" t="s">
        <v>627</v>
      </c>
      <c r="H95" s="86" t="s">
        <v>414</v>
      </c>
      <c r="I95" s="83">
        <v>404901834</v>
      </c>
      <c r="J95" s="138" t="s">
        <v>628</v>
      </c>
      <c r="K95" s="139">
        <v>30348</v>
      </c>
      <c r="L95" s="88">
        <v>24196.799999999999</v>
      </c>
      <c r="M95" s="89">
        <f>15000+9196.8</f>
        <v>24196.799999999999</v>
      </c>
      <c r="N95" s="143"/>
      <c r="Q95" s="86">
        <v>331</v>
      </c>
    </row>
    <row r="96" spans="1:17" ht="56.25">
      <c r="A96" s="79" t="s">
        <v>280</v>
      </c>
      <c r="B96" s="86" t="s">
        <v>871</v>
      </c>
      <c r="C96" s="80">
        <f t="shared" si="1"/>
        <v>34100000</v>
      </c>
      <c r="D96" s="95" t="s">
        <v>629</v>
      </c>
      <c r="E96" s="86" t="s">
        <v>283</v>
      </c>
      <c r="F96" s="86">
        <v>150013234</v>
      </c>
      <c r="G96" s="102" t="s">
        <v>630</v>
      </c>
      <c r="H96" s="109" t="s">
        <v>631</v>
      </c>
      <c r="I96" s="86">
        <v>206276340</v>
      </c>
      <c r="J96" s="138" t="s">
        <v>632</v>
      </c>
      <c r="K96" s="139">
        <f>(23960*4*2.5859+0.344)</f>
        <v>247833.00000000003</v>
      </c>
      <c r="L96" s="88">
        <f>(23960*4*2.5859+0.344)*1.18</f>
        <v>292442.94</v>
      </c>
      <c r="M96" s="89">
        <v>292442.94</v>
      </c>
      <c r="N96" s="143"/>
      <c r="Q96" s="86">
        <v>341</v>
      </c>
    </row>
    <row r="97" spans="1:17" ht="56.25">
      <c r="A97" s="79" t="s">
        <v>280</v>
      </c>
      <c r="B97" s="86" t="s">
        <v>871</v>
      </c>
      <c r="C97" s="80">
        <f t="shared" si="1"/>
        <v>15800000</v>
      </c>
      <c r="D97" s="95" t="s">
        <v>614</v>
      </c>
      <c r="E97" s="86" t="s">
        <v>13</v>
      </c>
      <c r="F97" s="86">
        <v>150122538</v>
      </c>
      <c r="G97" s="86" t="s">
        <v>633</v>
      </c>
      <c r="H97" s="86" t="s">
        <v>634</v>
      </c>
      <c r="I97" s="83">
        <v>206172078</v>
      </c>
      <c r="J97" s="138" t="s">
        <v>635</v>
      </c>
      <c r="K97" s="139"/>
      <c r="L97" s="88">
        <v>142.19999999999999</v>
      </c>
      <c r="M97" s="89">
        <v>142.19999999999999</v>
      </c>
      <c r="N97" s="143"/>
      <c r="Q97" s="86">
        <v>158</v>
      </c>
    </row>
    <row r="98" spans="1:17" ht="56.25">
      <c r="A98" s="79" t="s">
        <v>280</v>
      </c>
      <c r="B98" s="86" t="s">
        <v>871</v>
      </c>
      <c r="C98" s="80">
        <f t="shared" si="1"/>
        <v>55300000</v>
      </c>
      <c r="D98" s="95" t="s">
        <v>636</v>
      </c>
      <c r="E98" s="86" t="s">
        <v>13</v>
      </c>
      <c r="F98" s="86">
        <v>150120863</v>
      </c>
      <c r="G98" s="86" t="s">
        <v>637</v>
      </c>
      <c r="H98" s="86" t="s">
        <v>638</v>
      </c>
      <c r="I98" s="83">
        <v>405071559</v>
      </c>
      <c r="J98" s="138" t="s">
        <v>639</v>
      </c>
      <c r="K98" s="139"/>
      <c r="L98" s="88">
        <v>270.93</v>
      </c>
      <c r="M98" s="89">
        <v>270.93</v>
      </c>
      <c r="N98" s="143"/>
      <c r="Q98" s="86">
        <v>553</v>
      </c>
    </row>
    <row r="99" spans="1:17" ht="56.25">
      <c r="A99" s="79" t="s">
        <v>280</v>
      </c>
      <c r="B99" s="86" t="s">
        <v>872</v>
      </c>
      <c r="C99" s="80">
        <f t="shared" si="1"/>
        <v>33100000</v>
      </c>
      <c r="D99" s="95" t="s">
        <v>848</v>
      </c>
      <c r="E99" s="86" t="s">
        <v>283</v>
      </c>
      <c r="F99" s="86">
        <v>150008967</v>
      </c>
      <c r="G99" s="86" t="s">
        <v>640</v>
      </c>
      <c r="H99" s="86" t="s">
        <v>106</v>
      </c>
      <c r="I99" s="83">
        <v>201991229</v>
      </c>
      <c r="J99" s="138" t="s">
        <v>641</v>
      </c>
      <c r="K99" s="139">
        <v>90400</v>
      </c>
      <c r="L99" s="88">
        <v>90400</v>
      </c>
      <c r="M99" s="89">
        <v>90400</v>
      </c>
      <c r="N99" s="143"/>
      <c r="Q99" s="86">
        <v>331</v>
      </c>
    </row>
    <row r="100" spans="1:17" ht="56.25">
      <c r="A100" s="79" t="s">
        <v>280</v>
      </c>
      <c r="B100" s="86" t="s">
        <v>872</v>
      </c>
      <c r="C100" s="80">
        <f t="shared" si="1"/>
        <v>33600000</v>
      </c>
      <c r="D100" s="95" t="s">
        <v>849</v>
      </c>
      <c r="E100" s="86" t="s">
        <v>13</v>
      </c>
      <c r="F100" s="86">
        <v>150123565</v>
      </c>
      <c r="G100" s="86" t="s">
        <v>642</v>
      </c>
      <c r="H100" s="86" t="s">
        <v>643</v>
      </c>
      <c r="I100" s="83" t="s">
        <v>294</v>
      </c>
      <c r="J100" s="138" t="s">
        <v>644</v>
      </c>
      <c r="K100" s="139"/>
      <c r="L100" s="110">
        <v>332908</v>
      </c>
      <c r="M100" s="110">
        <v>332908</v>
      </c>
      <c r="N100" s="143"/>
      <c r="Q100" s="86">
        <v>336</v>
      </c>
    </row>
    <row r="101" spans="1:17" ht="112.5">
      <c r="A101" s="79" t="s">
        <v>280</v>
      </c>
      <c r="B101" s="86" t="s">
        <v>874</v>
      </c>
      <c r="C101" s="80">
        <f t="shared" si="1"/>
        <v>64100000</v>
      </c>
      <c r="D101" s="95" t="s">
        <v>38</v>
      </c>
      <c r="E101" s="86" t="s">
        <v>13</v>
      </c>
      <c r="F101" s="86">
        <v>150124959</v>
      </c>
      <c r="G101" s="97" t="s">
        <v>645</v>
      </c>
      <c r="H101" s="86" t="s">
        <v>646</v>
      </c>
      <c r="I101" s="83">
        <v>204885810</v>
      </c>
      <c r="J101" s="138" t="s">
        <v>647</v>
      </c>
      <c r="K101" s="139"/>
      <c r="L101" s="88">
        <v>1200</v>
      </c>
      <c r="M101" s="89">
        <f>315+105+105+315+105</f>
        <v>945</v>
      </c>
      <c r="N101" s="143"/>
      <c r="Q101" s="98">
        <v>641</v>
      </c>
    </row>
    <row r="102" spans="1:17" ht="56.25">
      <c r="A102" s="79" t="s">
        <v>280</v>
      </c>
      <c r="B102" s="86" t="s">
        <v>871</v>
      </c>
      <c r="C102" s="80">
        <f t="shared" si="1"/>
        <v>33600000</v>
      </c>
      <c r="D102" s="95" t="s">
        <v>850</v>
      </c>
      <c r="E102" s="86" t="s">
        <v>283</v>
      </c>
      <c r="F102" s="86">
        <v>150014434</v>
      </c>
      <c r="G102" s="86" t="s">
        <v>648</v>
      </c>
      <c r="H102" s="86" t="s">
        <v>255</v>
      </c>
      <c r="I102" s="83">
        <v>202161640</v>
      </c>
      <c r="J102" s="138" t="s">
        <v>647</v>
      </c>
      <c r="K102" s="139">
        <v>73400</v>
      </c>
      <c r="L102" s="88">
        <f>35010*1.966</f>
        <v>68829.66</v>
      </c>
      <c r="M102" s="89">
        <f>49189.32+17694+1946.34</f>
        <v>68829.66</v>
      </c>
      <c r="N102" s="143"/>
      <c r="Q102" s="86">
        <v>336</v>
      </c>
    </row>
    <row r="103" spans="1:17" ht="56.25">
      <c r="A103" s="79" t="s">
        <v>280</v>
      </c>
      <c r="B103" s="86" t="s">
        <v>871</v>
      </c>
      <c r="C103" s="80">
        <f t="shared" si="1"/>
        <v>79300000</v>
      </c>
      <c r="D103" s="95" t="s">
        <v>649</v>
      </c>
      <c r="E103" s="86" t="s">
        <v>841</v>
      </c>
      <c r="F103" s="86">
        <v>150016129</v>
      </c>
      <c r="G103" s="86" t="s">
        <v>650</v>
      </c>
      <c r="H103" s="111" t="s">
        <v>651</v>
      </c>
      <c r="I103" s="86">
        <v>202209029</v>
      </c>
      <c r="J103" s="138" t="s">
        <v>647</v>
      </c>
      <c r="K103" s="139">
        <v>31100</v>
      </c>
      <c r="L103" s="88">
        <f>17900*18%+17900</f>
        <v>21122</v>
      </c>
      <c r="M103" s="89">
        <f>4224.4+10561+6336.6</f>
        <v>21122</v>
      </c>
      <c r="N103" s="143"/>
      <c r="Q103" s="86">
        <v>793</v>
      </c>
    </row>
    <row r="104" spans="1:17" ht="56.25">
      <c r="A104" s="79" t="s">
        <v>280</v>
      </c>
      <c r="B104" s="86" t="s">
        <v>871</v>
      </c>
      <c r="C104" s="80">
        <f t="shared" si="1"/>
        <v>79300000</v>
      </c>
      <c r="D104" s="95" t="s">
        <v>652</v>
      </c>
      <c r="E104" s="86" t="s">
        <v>841</v>
      </c>
      <c r="F104" s="86">
        <v>150016566</v>
      </c>
      <c r="G104" s="86" t="s">
        <v>653</v>
      </c>
      <c r="H104" s="111" t="s">
        <v>654</v>
      </c>
      <c r="I104" s="86">
        <v>404882766</v>
      </c>
      <c r="J104" s="138" t="s">
        <v>655</v>
      </c>
      <c r="K104" s="139">
        <v>92650</v>
      </c>
      <c r="L104" s="88">
        <v>85799</v>
      </c>
      <c r="M104" s="89">
        <f>2300+5350+5421.5+7325+36021+29381.5</f>
        <v>85799</v>
      </c>
      <c r="N104" s="143"/>
      <c r="Q104" s="86">
        <v>793</v>
      </c>
    </row>
    <row r="105" spans="1:17" ht="112.5">
      <c r="A105" s="79" t="s">
        <v>280</v>
      </c>
      <c r="B105" s="86" t="s">
        <v>874</v>
      </c>
      <c r="C105" s="80">
        <f t="shared" si="1"/>
        <v>30200000</v>
      </c>
      <c r="D105" s="95" t="s">
        <v>656</v>
      </c>
      <c r="E105" s="86" t="s">
        <v>43</v>
      </c>
      <c r="F105" s="86">
        <v>150131214</v>
      </c>
      <c r="G105" s="86" t="s">
        <v>657</v>
      </c>
      <c r="H105" s="86" t="s">
        <v>658</v>
      </c>
      <c r="I105" s="86">
        <v>211380691</v>
      </c>
      <c r="J105" s="138" t="s">
        <v>659</v>
      </c>
      <c r="K105" s="139"/>
      <c r="L105" s="88">
        <f>8*759</f>
        <v>6072</v>
      </c>
      <c r="M105" s="89">
        <f>5313+759</f>
        <v>6072</v>
      </c>
      <c r="N105" s="143"/>
      <c r="Q105" s="86">
        <v>302</v>
      </c>
    </row>
    <row r="106" spans="1:17" ht="56.25">
      <c r="A106" s="79" t="s">
        <v>280</v>
      </c>
      <c r="B106" s="86" t="s">
        <v>871</v>
      </c>
      <c r="C106" s="80">
        <f t="shared" si="1"/>
        <v>63100000</v>
      </c>
      <c r="D106" s="95" t="s">
        <v>660</v>
      </c>
      <c r="E106" s="86" t="s">
        <v>841</v>
      </c>
      <c r="F106" s="86">
        <v>150017352</v>
      </c>
      <c r="G106" s="86" t="s">
        <v>661</v>
      </c>
      <c r="H106" s="86" t="s">
        <v>662</v>
      </c>
      <c r="I106" s="86">
        <v>202191797</v>
      </c>
      <c r="J106" s="138" t="s">
        <v>663</v>
      </c>
      <c r="K106" s="139">
        <f>5000+3000+500*5</f>
        <v>10500</v>
      </c>
      <c r="L106" s="112">
        <v>10500</v>
      </c>
      <c r="M106" s="89">
        <f>7639.25</f>
        <v>7639.25</v>
      </c>
      <c r="N106" s="143"/>
      <c r="Q106" s="86">
        <v>631</v>
      </c>
    </row>
    <row r="107" spans="1:17" ht="56.25">
      <c r="A107" s="79" t="s">
        <v>280</v>
      </c>
      <c r="B107" s="86" t="s">
        <v>871</v>
      </c>
      <c r="C107" s="80">
        <f t="shared" si="1"/>
        <v>33600000</v>
      </c>
      <c r="D107" s="105" t="s">
        <v>851</v>
      </c>
      <c r="E107" s="86" t="s">
        <v>283</v>
      </c>
      <c r="F107" s="86">
        <v>150015423</v>
      </c>
      <c r="G107" s="86" t="s">
        <v>664</v>
      </c>
      <c r="H107" s="86" t="s">
        <v>148</v>
      </c>
      <c r="I107" s="86">
        <v>204552741</v>
      </c>
      <c r="J107" s="138" t="s">
        <v>665</v>
      </c>
      <c r="K107" s="139">
        <f>103264*2.3112+0.2432</f>
        <v>238664</v>
      </c>
      <c r="L107" s="110">
        <v>106394</v>
      </c>
      <c r="M107" s="89">
        <f>29698.66+82934.75+1822.73+7914.76+86338.73+41778.4</f>
        <v>250488.03</v>
      </c>
      <c r="N107" s="143"/>
      <c r="Q107" s="86">
        <v>336</v>
      </c>
    </row>
    <row r="108" spans="1:17" ht="56.25">
      <c r="A108" s="79" t="s">
        <v>280</v>
      </c>
      <c r="B108" s="86" t="s">
        <v>871</v>
      </c>
      <c r="C108" s="80">
        <f t="shared" si="1"/>
        <v>33600000</v>
      </c>
      <c r="D108" s="95" t="s">
        <v>866</v>
      </c>
      <c r="E108" s="86" t="s">
        <v>283</v>
      </c>
      <c r="F108" s="86">
        <v>150017097</v>
      </c>
      <c r="G108" s="86" t="s">
        <v>666</v>
      </c>
      <c r="H108" s="103" t="s">
        <v>558</v>
      </c>
      <c r="I108" s="83">
        <v>404977502</v>
      </c>
      <c r="J108" s="138" t="s">
        <v>667</v>
      </c>
      <c r="K108" s="139">
        <v>13580</v>
      </c>
      <c r="L108" s="112">
        <v>13580</v>
      </c>
      <c r="M108" s="89">
        <v>13580</v>
      </c>
      <c r="N108" s="143"/>
      <c r="Q108" s="86">
        <v>336</v>
      </c>
    </row>
    <row r="109" spans="1:17" ht="112.5">
      <c r="A109" s="79" t="s">
        <v>280</v>
      </c>
      <c r="B109" s="86" t="s">
        <v>874</v>
      </c>
      <c r="C109" s="80">
        <f t="shared" si="1"/>
        <v>33100000</v>
      </c>
      <c r="D109" s="95" t="s">
        <v>356</v>
      </c>
      <c r="E109" s="86" t="s">
        <v>283</v>
      </c>
      <c r="F109" s="86">
        <v>150017098</v>
      </c>
      <c r="G109" s="86" t="s">
        <v>668</v>
      </c>
      <c r="H109" s="86" t="s">
        <v>669</v>
      </c>
      <c r="I109" s="86">
        <v>416304680</v>
      </c>
      <c r="J109" s="138" t="s">
        <v>667</v>
      </c>
      <c r="K109" s="139">
        <v>11882</v>
      </c>
      <c r="L109" s="112">
        <v>11128</v>
      </c>
      <c r="M109" s="89">
        <f>8628+2500</f>
        <v>11128</v>
      </c>
      <c r="N109" s="143"/>
      <c r="Q109" s="86">
        <v>331</v>
      </c>
    </row>
    <row r="110" spans="1:17" ht="56.25">
      <c r="A110" s="79" t="s">
        <v>280</v>
      </c>
      <c r="B110" s="86" t="s">
        <v>871</v>
      </c>
      <c r="C110" s="80">
        <f t="shared" si="1"/>
        <v>33600000</v>
      </c>
      <c r="D110" s="95" t="s">
        <v>670</v>
      </c>
      <c r="E110" s="86" t="s">
        <v>283</v>
      </c>
      <c r="F110" s="86">
        <v>150017361</v>
      </c>
      <c r="G110" s="86" t="s">
        <v>671</v>
      </c>
      <c r="H110" s="86" t="s">
        <v>251</v>
      </c>
      <c r="I110" s="83">
        <v>204996772</v>
      </c>
      <c r="J110" s="138" t="s">
        <v>672</v>
      </c>
      <c r="K110" s="139">
        <v>72800</v>
      </c>
      <c r="L110" s="88">
        <v>66950</v>
      </c>
      <c r="M110" s="89">
        <f>35477.11+31472.89</f>
        <v>66950</v>
      </c>
      <c r="N110" s="143"/>
      <c r="Q110" s="86">
        <v>336</v>
      </c>
    </row>
    <row r="111" spans="1:17" ht="56.25">
      <c r="A111" s="79" t="s">
        <v>280</v>
      </c>
      <c r="B111" s="86" t="s">
        <v>871</v>
      </c>
      <c r="C111" s="80">
        <f t="shared" si="1"/>
        <v>39100000</v>
      </c>
      <c r="D111" s="95" t="s">
        <v>519</v>
      </c>
      <c r="E111" s="86" t="s">
        <v>283</v>
      </c>
      <c r="F111" s="86">
        <v>150017333</v>
      </c>
      <c r="G111" s="86" t="s">
        <v>673</v>
      </c>
      <c r="H111" s="113" t="s">
        <v>674</v>
      </c>
      <c r="I111" s="86">
        <v>423099587</v>
      </c>
      <c r="J111" s="138" t="s">
        <v>675</v>
      </c>
      <c r="K111" s="139">
        <v>5310</v>
      </c>
      <c r="L111" s="119">
        <v>3500</v>
      </c>
      <c r="M111" s="89">
        <f>1700+1800</f>
        <v>3500</v>
      </c>
      <c r="N111" s="143"/>
      <c r="Q111" s="86">
        <v>391</v>
      </c>
    </row>
    <row r="112" spans="1:17" ht="56.25">
      <c r="A112" s="79" t="s">
        <v>280</v>
      </c>
      <c r="B112" s="86" t="s">
        <v>872</v>
      </c>
      <c r="C112" s="80">
        <f t="shared" si="1"/>
        <v>33600000</v>
      </c>
      <c r="D112" s="95" t="s">
        <v>676</v>
      </c>
      <c r="E112" s="86" t="s">
        <v>283</v>
      </c>
      <c r="F112" s="86">
        <v>150018076</v>
      </c>
      <c r="G112" s="86" t="s">
        <v>677</v>
      </c>
      <c r="H112" s="86" t="s">
        <v>255</v>
      </c>
      <c r="I112" s="83">
        <v>202161640</v>
      </c>
      <c r="J112" s="138" t="s">
        <v>675</v>
      </c>
      <c r="K112" s="139">
        <v>28350</v>
      </c>
      <c r="L112" s="88">
        <v>28350</v>
      </c>
      <c r="M112" s="89">
        <v>28350</v>
      </c>
      <c r="N112" s="143"/>
      <c r="Q112" s="86">
        <v>336</v>
      </c>
    </row>
    <row r="113" spans="1:17" ht="56.25">
      <c r="A113" s="79" t="s">
        <v>280</v>
      </c>
      <c r="B113" s="86" t="s">
        <v>872</v>
      </c>
      <c r="C113" s="80">
        <f t="shared" si="1"/>
        <v>33600000</v>
      </c>
      <c r="D113" s="95" t="s">
        <v>852</v>
      </c>
      <c r="E113" s="86" t="s">
        <v>283</v>
      </c>
      <c r="F113" s="86">
        <v>150017655</v>
      </c>
      <c r="G113" s="86" t="s">
        <v>678</v>
      </c>
      <c r="H113" s="86" t="s">
        <v>679</v>
      </c>
      <c r="I113" s="83">
        <v>205256220</v>
      </c>
      <c r="J113" s="138" t="s">
        <v>680</v>
      </c>
      <c r="K113" s="139">
        <v>206064</v>
      </c>
      <c r="L113" s="88">
        <v>206064</v>
      </c>
      <c r="M113" s="89">
        <f>110664+95400</f>
        <v>206064</v>
      </c>
      <c r="N113" s="143"/>
      <c r="Q113" s="86">
        <v>336</v>
      </c>
    </row>
    <row r="114" spans="1:17" ht="56.25">
      <c r="A114" s="79" t="s">
        <v>280</v>
      </c>
      <c r="B114" s="86" t="s">
        <v>871</v>
      </c>
      <c r="C114" s="80">
        <f t="shared" si="1"/>
        <v>45300000</v>
      </c>
      <c r="D114" s="95" t="s">
        <v>681</v>
      </c>
      <c r="E114" s="86" t="s">
        <v>841</v>
      </c>
      <c r="F114" s="86">
        <v>150020295</v>
      </c>
      <c r="G114" s="86" t="s">
        <v>682</v>
      </c>
      <c r="H114" s="109" t="s">
        <v>683</v>
      </c>
      <c r="I114" s="83">
        <v>439861240</v>
      </c>
      <c r="J114" s="138" t="s">
        <v>684</v>
      </c>
      <c r="K114" s="139">
        <v>7710</v>
      </c>
      <c r="L114" s="112">
        <v>6424</v>
      </c>
      <c r="M114" s="89">
        <v>6118.1</v>
      </c>
      <c r="N114" s="143"/>
      <c r="Q114" s="86">
        <v>453</v>
      </c>
    </row>
    <row r="115" spans="1:17" ht="56.25">
      <c r="A115" s="79" t="s">
        <v>280</v>
      </c>
      <c r="B115" s="86" t="s">
        <v>871</v>
      </c>
      <c r="C115" s="80">
        <f t="shared" si="1"/>
        <v>39700000</v>
      </c>
      <c r="D115" s="95" t="s">
        <v>276</v>
      </c>
      <c r="E115" s="86" t="s">
        <v>13</v>
      </c>
      <c r="F115" s="86">
        <v>150019322</v>
      </c>
      <c r="G115" s="86" t="s">
        <v>685</v>
      </c>
      <c r="H115" s="86" t="s">
        <v>594</v>
      </c>
      <c r="I115" s="83">
        <v>205295955</v>
      </c>
      <c r="J115" s="138" t="s">
        <v>686</v>
      </c>
      <c r="K115" s="139">
        <f>4*900+6*310+425</f>
        <v>5885</v>
      </c>
      <c r="L115" s="88">
        <v>5300</v>
      </c>
      <c r="M115" s="89">
        <f>900+900+3500</f>
        <v>5300</v>
      </c>
      <c r="N115" s="143"/>
      <c r="Q115" s="86">
        <v>397</v>
      </c>
    </row>
    <row r="116" spans="1:17" ht="56.25">
      <c r="A116" s="79" t="s">
        <v>280</v>
      </c>
      <c r="B116" s="86" t="s">
        <v>871</v>
      </c>
      <c r="C116" s="80">
        <f t="shared" si="1"/>
        <v>33600000</v>
      </c>
      <c r="D116" s="95" t="s">
        <v>853</v>
      </c>
      <c r="E116" s="86" t="s">
        <v>283</v>
      </c>
      <c r="F116" s="86">
        <v>150017221</v>
      </c>
      <c r="G116" s="86" t="s">
        <v>687</v>
      </c>
      <c r="H116" s="86" t="s">
        <v>168</v>
      </c>
      <c r="I116" s="96">
        <v>205000773</v>
      </c>
      <c r="J116" s="138" t="s">
        <v>688</v>
      </c>
      <c r="K116" s="139">
        <v>30466</v>
      </c>
      <c r="L116" s="88">
        <v>17891.759999999998</v>
      </c>
      <c r="M116" s="89">
        <v>17891.759999999998</v>
      </c>
      <c r="N116" s="143"/>
      <c r="Q116" s="86">
        <v>336</v>
      </c>
    </row>
    <row r="117" spans="1:17" ht="56.25">
      <c r="A117" s="79" t="s">
        <v>280</v>
      </c>
      <c r="B117" s="86" t="s">
        <v>871</v>
      </c>
      <c r="C117" s="80">
        <f t="shared" si="1"/>
        <v>33600000</v>
      </c>
      <c r="D117" s="95" t="s">
        <v>854</v>
      </c>
      <c r="E117" s="86" t="s">
        <v>283</v>
      </c>
      <c r="F117" s="86">
        <v>150019181</v>
      </c>
      <c r="G117" s="86" t="s">
        <v>689</v>
      </c>
      <c r="H117" s="86" t="s">
        <v>106</v>
      </c>
      <c r="I117" s="83">
        <v>201991229</v>
      </c>
      <c r="J117" s="138" t="s">
        <v>688</v>
      </c>
      <c r="K117" s="139">
        <f>2300*4*2.4752</f>
        <v>22771.84</v>
      </c>
      <c r="L117" s="88">
        <v>22770</v>
      </c>
      <c r="M117" s="89">
        <v>22770</v>
      </c>
      <c r="N117" s="143"/>
      <c r="Q117" s="86">
        <v>336</v>
      </c>
    </row>
    <row r="118" spans="1:17" ht="56.25">
      <c r="A118" s="79" t="s">
        <v>280</v>
      </c>
      <c r="B118" s="86" t="s">
        <v>871</v>
      </c>
      <c r="C118" s="80">
        <f t="shared" si="1"/>
        <v>33100000</v>
      </c>
      <c r="D118" s="95" t="s">
        <v>690</v>
      </c>
      <c r="E118" s="86" t="s">
        <v>283</v>
      </c>
      <c r="F118" s="86">
        <v>150018769</v>
      </c>
      <c r="G118" s="86" t="s">
        <v>691</v>
      </c>
      <c r="H118" s="86" t="s">
        <v>185</v>
      </c>
      <c r="I118" s="83">
        <v>204918544</v>
      </c>
      <c r="J118" s="138" t="s">
        <v>692</v>
      </c>
      <c r="K118" s="139">
        <f>134220*2.2471</f>
        <v>301605.76199999999</v>
      </c>
      <c r="L118" s="88">
        <v>298500</v>
      </c>
      <c r="M118" s="89">
        <f>149250+149250</f>
        <v>298500</v>
      </c>
      <c r="N118" s="143"/>
      <c r="Q118" s="86">
        <v>331</v>
      </c>
    </row>
    <row r="119" spans="1:17" ht="56.25">
      <c r="A119" s="79" t="s">
        <v>280</v>
      </c>
      <c r="B119" s="86" t="s">
        <v>871</v>
      </c>
      <c r="C119" s="80">
        <f t="shared" si="1"/>
        <v>33600000</v>
      </c>
      <c r="D119" s="95" t="s">
        <v>858</v>
      </c>
      <c r="E119" s="86" t="s">
        <v>283</v>
      </c>
      <c r="F119" s="86">
        <v>150018764</v>
      </c>
      <c r="G119" s="86" t="s">
        <v>693</v>
      </c>
      <c r="H119" s="86" t="s">
        <v>251</v>
      </c>
      <c r="I119" s="83">
        <v>204996772</v>
      </c>
      <c r="J119" s="138" t="s">
        <v>694</v>
      </c>
      <c r="K119" s="139">
        <v>386400</v>
      </c>
      <c r="L119" s="88">
        <v>365368.8</v>
      </c>
      <c r="M119" s="89">
        <v>365368.2</v>
      </c>
      <c r="N119" s="143"/>
      <c r="Q119" s="86">
        <v>336</v>
      </c>
    </row>
    <row r="120" spans="1:17" ht="56.25">
      <c r="A120" s="79" t="s">
        <v>280</v>
      </c>
      <c r="B120" s="86" t="s">
        <v>871</v>
      </c>
      <c r="C120" s="80">
        <f t="shared" si="1"/>
        <v>33600000</v>
      </c>
      <c r="D120" s="95" t="s">
        <v>359</v>
      </c>
      <c r="E120" s="86" t="s">
        <v>283</v>
      </c>
      <c r="F120" s="86">
        <v>150018768</v>
      </c>
      <c r="G120" s="86" t="s">
        <v>695</v>
      </c>
      <c r="H120" s="86" t="s">
        <v>148</v>
      </c>
      <c r="I120" s="86">
        <v>204552741</v>
      </c>
      <c r="J120" s="138" t="s">
        <v>694</v>
      </c>
      <c r="K120" s="139">
        <v>520942</v>
      </c>
      <c r="L120" s="114">
        <v>230873</v>
      </c>
      <c r="M120" s="89">
        <v>550793.72</v>
      </c>
      <c r="N120" s="143"/>
      <c r="Q120" s="86">
        <v>336</v>
      </c>
    </row>
    <row r="121" spans="1:17" ht="56.25">
      <c r="A121" s="79" t="s">
        <v>280</v>
      </c>
      <c r="B121" s="86" t="s">
        <v>871</v>
      </c>
      <c r="C121" s="80">
        <f t="shared" si="1"/>
        <v>33600000</v>
      </c>
      <c r="D121" s="95" t="s">
        <v>855</v>
      </c>
      <c r="E121" s="86" t="s">
        <v>283</v>
      </c>
      <c r="F121" s="86">
        <v>150020298</v>
      </c>
      <c r="G121" s="86" t="s">
        <v>696</v>
      </c>
      <c r="H121" s="86" t="s">
        <v>106</v>
      </c>
      <c r="I121" s="83">
        <v>201991229</v>
      </c>
      <c r="J121" s="138" t="s">
        <v>697</v>
      </c>
      <c r="K121" s="139">
        <v>125760</v>
      </c>
      <c r="L121" s="88">
        <v>125760</v>
      </c>
      <c r="M121" s="89">
        <f>62880+62880</f>
        <v>125760</v>
      </c>
      <c r="N121" s="143"/>
      <c r="Q121" s="86">
        <v>336</v>
      </c>
    </row>
    <row r="122" spans="1:17" ht="56.25">
      <c r="A122" s="79" t="s">
        <v>280</v>
      </c>
      <c r="B122" s="86" t="s">
        <v>871</v>
      </c>
      <c r="C122" s="80">
        <f t="shared" si="1"/>
        <v>24900000</v>
      </c>
      <c r="D122" s="95" t="s">
        <v>698</v>
      </c>
      <c r="E122" s="86" t="s">
        <v>13</v>
      </c>
      <c r="F122" s="86">
        <v>150153960</v>
      </c>
      <c r="G122" s="86" t="s">
        <v>699</v>
      </c>
      <c r="H122" s="86" t="s">
        <v>562</v>
      </c>
      <c r="I122" s="83">
        <v>404877077</v>
      </c>
      <c r="J122" s="138" t="s">
        <v>700</v>
      </c>
      <c r="K122" s="139"/>
      <c r="L122" s="88">
        <v>2186.5</v>
      </c>
      <c r="M122" s="89">
        <v>2186.5</v>
      </c>
      <c r="N122" s="143"/>
      <c r="Q122" s="97">
        <v>249</v>
      </c>
    </row>
    <row r="123" spans="1:17" ht="56.25">
      <c r="A123" s="79" t="s">
        <v>280</v>
      </c>
      <c r="B123" s="86" t="s">
        <v>871</v>
      </c>
      <c r="C123" s="80">
        <f t="shared" si="1"/>
        <v>33100000</v>
      </c>
      <c r="D123" s="95" t="s">
        <v>701</v>
      </c>
      <c r="E123" s="86" t="s">
        <v>283</v>
      </c>
      <c r="F123" s="86">
        <v>150019426</v>
      </c>
      <c r="G123" s="86" t="s">
        <v>702</v>
      </c>
      <c r="H123" s="86" t="s">
        <v>703</v>
      </c>
      <c r="I123" s="99" t="s">
        <v>704</v>
      </c>
      <c r="J123" s="138" t="s">
        <v>705</v>
      </c>
      <c r="K123" s="139">
        <v>8984</v>
      </c>
      <c r="L123" s="88">
        <v>8380</v>
      </c>
      <c r="M123" s="89">
        <f>6547.5+1090.7+741.8</f>
        <v>8380</v>
      </c>
      <c r="N123" s="143"/>
      <c r="Q123" s="86">
        <v>331</v>
      </c>
    </row>
    <row r="124" spans="1:17" ht="56.25">
      <c r="A124" s="79" t="s">
        <v>280</v>
      </c>
      <c r="B124" s="86" t="s">
        <v>871</v>
      </c>
      <c r="C124" s="80">
        <f t="shared" si="1"/>
        <v>32300000</v>
      </c>
      <c r="D124" s="115" t="s">
        <v>706</v>
      </c>
      <c r="E124" s="86" t="s">
        <v>13</v>
      </c>
      <c r="F124" s="90">
        <v>150153966</v>
      </c>
      <c r="G124" s="86" t="s">
        <v>707</v>
      </c>
      <c r="H124" s="86" t="s">
        <v>708</v>
      </c>
      <c r="I124" s="98" t="s">
        <v>709</v>
      </c>
      <c r="J124" s="138" t="s">
        <v>710</v>
      </c>
      <c r="K124" s="139"/>
      <c r="L124" s="88">
        <v>1348.75</v>
      </c>
      <c r="M124" s="89">
        <v>1348.75</v>
      </c>
      <c r="N124" s="143"/>
      <c r="Q124" s="90">
        <v>323</v>
      </c>
    </row>
    <row r="125" spans="1:17" ht="56.25">
      <c r="A125" s="79" t="s">
        <v>280</v>
      </c>
      <c r="B125" s="90" t="s">
        <v>872</v>
      </c>
      <c r="C125" s="80">
        <f t="shared" si="1"/>
        <v>33600000</v>
      </c>
      <c r="D125" s="115" t="s">
        <v>711</v>
      </c>
      <c r="E125" s="90" t="s">
        <v>283</v>
      </c>
      <c r="F125" s="90">
        <v>150020908</v>
      </c>
      <c r="G125" s="86" t="s">
        <v>712</v>
      </c>
      <c r="H125" s="86" t="s">
        <v>255</v>
      </c>
      <c r="I125" s="83">
        <v>202161640</v>
      </c>
      <c r="J125" s="138" t="s">
        <v>713</v>
      </c>
      <c r="K125" s="139">
        <v>12274</v>
      </c>
      <c r="L125" s="88">
        <v>12274</v>
      </c>
      <c r="M125" s="89">
        <f>5655+648+771+4620+580</f>
        <v>12274</v>
      </c>
      <c r="N125" s="143"/>
      <c r="Q125" s="90">
        <v>336</v>
      </c>
    </row>
    <row r="126" spans="1:17" ht="56.25">
      <c r="A126" s="79" t="s">
        <v>280</v>
      </c>
      <c r="B126" s="86" t="s">
        <v>871</v>
      </c>
      <c r="C126" s="80">
        <f t="shared" si="1"/>
        <v>33100000</v>
      </c>
      <c r="D126" s="95" t="s">
        <v>714</v>
      </c>
      <c r="E126" s="86" t="s">
        <v>283</v>
      </c>
      <c r="F126" s="86">
        <v>150020717</v>
      </c>
      <c r="G126" s="86" t="s">
        <v>715</v>
      </c>
      <c r="H126" s="86" t="s">
        <v>562</v>
      </c>
      <c r="I126" s="83">
        <v>404877077</v>
      </c>
      <c r="J126" s="138" t="s">
        <v>716</v>
      </c>
      <c r="K126" s="139">
        <v>2475</v>
      </c>
      <c r="L126" s="88">
        <v>2445</v>
      </c>
      <c r="M126" s="89">
        <v>2445</v>
      </c>
      <c r="N126" s="143"/>
      <c r="Q126" s="86">
        <v>331</v>
      </c>
    </row>
    <row r="127" spans="1:17" ht="56.25">
      <c r="A127" s="79" t="s">
        <v>280</v>
      </c>
      <c r="B127" s="86" t="s">
        <v>871</v>
      </c>
      <c r="C127" s="80">
        <f t="shared" si="1"/>
        <v>33600000</v>
      </c>
      <c r="D127" s="101" t="s">
        <v>843</v>
      </c>
      <c r="E127" s="86" t="s">
        <v>283</v>
      </c>
      <c r="F127" s="86">
        <v>150020297</v>
      </c>
      <c r="G127" s="86" t="s">
        <v>717</v>
      </c>
      <c r="H127" s="86" t="s">
        <v>160</v>
      </c>
      <c r="I127" s="83">
        <v>204927767</v>
      </c>
      <c r="J127" s="138" t="s">
        <v>718</v>
      </c>
      <c r="K127" s="139">
        <v>23606</v>
      </c>
      <c r="L127" s="88">
        <v>16999.3</v>
      </c>
      <c r="M127" s="89">
        <f>16437.7+561.6</f>
        <v>16999.3</v>
      </c>
      <c r="N127" s="143"/>
      <c r="Q127" s="86">
        <v>336</v>
      </c>
    </row>
    <row r="128" spans="1:17" ht="56.25">
      <c r="A128" s="79" t="s">
        <v>280</v>
      </c>
      <c r="B128" s="86" t="s">
        <v>871</v>
      </c>
      <c r="C128" s="80">
        <f t="shared" si="1"/>
        <v>33600000</v>
      </c>
      <c r="D128" s="95" t="s">
        <v>719</v>
      </c>
      <c r="E128" s="86" t="s">
        <v>283</v>
      </c>
      <c r="F128" s="86">
        <v>150020909</v>
      </c>
      <c r="G128" s="86" t="s">
        <v>720</v>
      </c>
      <c r="H128" s="103" t="s">
        <v>721</v>
      </c>
      <c r="I128" s="96">
        <v>204568146</v>
      </c>
      <c r="J128" s="138" t="s">
        <v>718</v>
      </c>
      <c r="K128" s="139">
        <v>11600</v>
      </c>
      <c r="L128" s="88">
        <v>11600</v>
      </c>
      <c r="M128" s="89">
        <f>2500.2+2800.2+3900.6+2375+24</f>
        <v>11600</v>
      </c>
      <c r="N128" s="143"/>
      <c r="Q128" s="86">
        <v>336</v>
      </c>
    </row>
    <row r="129" spans="1:17" ht="56.25">
      <c r="A129" s="79" t="s">
        <v>280</v>
      </c>
      <c r="B129" s="86" t="s">
        <v>872</v>
      </c>
      <c r="C129" s="80">
        <f t="shared" si="1"/>
        <v>33100000</v>
      </c>
      <c r="D129" s="95" t="s">
        <v>722</v>
      </c>
      <c r="E129" s="86" t="s">
        <v>283</v>
      </c>
      <c r="F129" s="86">
        <v>150020695</v>
      </c>
      <c r="G129" s="86" t="s">
        <v>723</v>
      </c>
      <c r="H129" s="103" t="s">
        <v>724</v>
      </c>
      <c r="I129" s="83">
        <v>404865286</v>
      </c>
      <c r="J129" s="138" t="s">
        <v>725</v>
      </c>
      <c r="K129" s="139">
        <v>26045</v>
      </c>
      <c r="L129" s="88">
        <v>13860</v>
      </c>
      <c r="M129" s="89">
        <v>13860</v>
      </c>
      <c r="N129" s="143"/>
      <c r="Q129" s="86">
        <v>331</v>
      </c>
    </row>
    <row r="130" spans="1:17" ht="56.25">
      <c r="A130" s="79" t="s">
        <v>280</v>
      </c>
      <c r="B130" s="86" t="s">
        <v>871</v>
      </c>
      <c r="C130" s="80">
        <f t="shared" si="1"/>
        <v>33100000</v>
      </c>
      <c r="D130" s="95" t="s">
        <v>726</v>
      </c>
      <c r="E130" s="86" t="s">
        <v>283</v>
      </c>
      <c r="F130" s="86">
        <v>150020715</v>
      </c>
      <c r="G130" s="86" t="s">
        <v>727</v>
      </c>
      <c r="H130" s="86" t="s">
        <v>562</v>
      </c>
      <c r="I130" s="83">
        <v>404877077</v>
      </c>
      <c r="J130" s="138" t="s">
        <v>725</v>
      </c>
      <c r="K130" s="139">
        <v>8590</v>
      </c>
      <c r="L130" s="88">
        <v>5595</v>
      </c>
      <c r="M130" s="89">
        <v>5595</v>
      </c>
      <c r="N130" s="143"/>
      <c r="Q130" s="86">
        <v>331</v>
      </c>
    </row>
    <row r="131" spans="1:17" ht="56.25">
      <c r="A131" s="79" t="s">
        <v>280</v>
      </c>
      <c r="B131" s="86" t="s">
        <v>872</v>
      </c>
      <c r="C131" s="80">
        <f t="shared" si="1"/>
        <v>33600000</v>
      </c>
      <c r="D131" s="95" t="s">
        <v>856</v>
      </c>
      <c r="E131" s="86" t="s">
        <v>283</v>
      </c>
      <c r="F131" s="86">
        <v>150021374</v>
      </c>
      <c r="G131" s="86" t="s">
        <v>728</v>
      </c>
      <c r="H131" s="86" t="s">
        <v>185</v>
      </c>
      <c r="I131" s="83">
        <v>204918544</v>
      </c>
      <c r="J131" s="138" t="s">
        <v>729</v>
      </c>
      <c r="K131" s="139">
        <f>21*1525</f>
        <v>32025</v>
      </c>
      <c r="L131" s="88">
        <v>32025</v>
      </c>
      <c r="M131" s="89">
        <f>16000+16025</f>
        <v>32025</v>
      </c>
      <c r="N131" s="143"/>
      <c r="Q131" s="86">
        <v>336</v>
      </c>
    </row>
    <row r="132" spans="1:17" ht="56.25">
      <c r="A132" s="79" t="s">
        <v>280</v>
      </c>
      <c r="B132" s="86" t="s">
        <v>871</v>
      </c>
      <c r="C132" s="80">
        <f t="shared" si="1"/>
        <v>33600000</v>
      </c>
      <c r="D132" s="95" t="s">
        <v>857</v>
      </c>
      <c r="E132" s="86" t="s">
        <v>283</v>
      </c>
      <c r="F132" s="86">
        <v>150020296</v>
      </c>
      <c r="G132" s="86" t="s">
        <v>730</v>
      </c>
      <c r="H132" s="103" t="s">
        <v>721</v>
      </c>
      <c r="I132" s="96">
        <v>204568146</v>
      </c>
      <c r="J132" s="138" t="s">
        <v>731</v>
      </c>
      <c r="K132" s="139">
        <v>16128</v>
      </c>
      <c r="L132" s="88">
        <v>12000</v>
      </c>
      <c r="M132" s="89">
        <f>6000+6000</f>
        <v>12000</v>
      </c>
      <c r="N132" s="143"/>
      <c r="Q132" s="86">
        <v>336</v>
      </c>
    </row>
    <row r="133" spans="1:17" ht="112.5">
      <c r="A133" s="79" t="s">
        <v>280</v>
      </c>
      <c r="B133" s="86" t="s">
        <v>874</v>
      </c>
      <c r="C133" s="80">
        <f t="shared" si="1"/>
        <v>33100000</v>
      </c>
      <c r="D133" s="95" t="s">
        <v>732</v>
      </c>
      <c r="E133" s="86" t="s">
        <v>283</v>
      </c>
      <c r="F133" s="86">
        <v>150021442</v>
      </c>
      <c r="G133" s="86" t="s">
        <v>733</v>
      </c>
      <c r="H133" s="86" t="s">
        <v>703</v>
      </c>
      <c r="I133" s="99" t="s">
        <v>704</v>
      </c>
      <c r="J133" s="138" t="s">
        <v>734</v>
      </c>
      <c r="K133" s="139">
        <f>(46150+800)*0.98</f>
        <v>46011</v>
      </c>
      <c r="L133" s="88">
        <v>24977.4</v>
      </c>
      <c r="M133" s="89">
        <f>425.6+24551.8</f>
        <v>24977.399999999998</v>
      </c>
      <c r="N133" s="143"/>
      <c r="Q133" s="86">
        <v>331</v>
      </c>
    </row>
    <row r="134" spans="1:17" ht="56.25">
      <c r="A134" s="79" t="s">
        <v>280</v>
      </c>
      <c r="B134" s="86" t="s">
        <v>871</v>
      </c>
      <c r="C134" s="80">
        <f t="shared" si="1"/>
        <v>33600000</v>
      </c>
      <c r="D134" s="95" t="s">
        <v>735</v>
      </c>
      <c r="E134" s="86" t="s">
        <v>283</v>
      </c>
      <c r="F134" s="86">
        <v>150023340</v>
      </c>
      <c r="G134" s="86" t="s">
        <v>736</v>
      </c>
      <c r="H134" s="86" t="s">
        <v>133</v>
      </c>
      <c r="I134" s="83">
        <v>204955628</v>
      </c>
      <c r="J134" s="138" t="s">
        <v>737</v>
      </c>
      <c r="K134" s="139">
        <v>14400</v>
      </c>
      <c r="L134" s="88">
        <v>11524</v>
      </c>
      <c r="M134" s="89">
        <f>5762+5762</f>
        <v>11524</v>
      </c>
      <c r="N134" s="143"/>
      <c r="Q134" s="97">
        <v>336</v>
      </c>
    </row>
    <row r="135" spans="1:17" ht="56.25">
      <c r="A135" s="79" t="s">
        <v>280</v>
      </c>
      <c r="B135" s="86" t="s">
        <v>871</v>
      </c>
      <c r="C135" s="80">
        <f t="shared" si="1"/>
        <v>50100000</v>
      </c>
      <c r="D135" s="95" t="s">
        <v>342</v>
      </c>
      <c r="E135" s="86" t="s">
        <v>13</v>
      </c>
      <c r="F135" s="86">
        <v>150165987</v>
      </c>
      <c r="G135" s="86" t="s">
        <v>738</v>
      </c>
      <c r="H135" s="103" t="s">
        <v>207</v>
      </c>
      <c r="I135" s="83">
        <v>202177205</v>
      </c>
      <c r="J135" s="138" t="s">
        <v>739</v>
      </c>
      <c r="K135" s="139"/>
      <c r="L135" s="88">
        <v>265</v>
      </c>
      <c r="M135" s="89">
        <v>265</v>
      </c>
      <c r="N135" s="143"/>
      <c r="Q135" s="86">
        <v>501</v>
      </c>
    </row>
    <row r="136" spans="1:17" ht="56.25">
      <c r="A136" s="79" t="s">
        <v>280</v>
      </c>
      <c r="B136" s="86" t="s">
        <v>872</v>
      </c>
      <c r="C136" s="80">
        <f t="shared" si="1"/>
        <v>34300000</v>
      </c>
      <c r="D136" s="95" t="s">
        <v>740</v>
      </c>
      <c r="E136" s="86" t="s">
        <v>13</v>
      </c>
      <c r="F136" s="86">
        <v>150165990</v>
      </c>
      <c r="G136" s="86" t="s">
        <v>741</v>
      </c>
      <c r="H136" s="103" t="s">
        <v>207</v>
      </c>
      <c r="I136" s="83">
        <v>202177205</v>
      </c>
      <c r="J136" s="138" t="s">
        <v>739</v>
      </c>
      <c r="K136" s="139"/>
      <c r="L136" s="88">
        <v>1090.9000000000001</v>
      </c>
      <c r="M136" s="89">
        <v>1090.9000000000001</v>
      </c>
      <c r="N136" s="143"/>
      <c r="Q136" s="86">
        <v>343</v>
      </c>
    </row>
    <row r="137" spans="1:17" ht="56.25">
      <c r="A137" s="79" t="s">
        <v>280</v>
      </c>
      <c r="B137" s="86" t="s">
        <v>871</v>
      </c>
      <c r="C137" s="80">
        <f t="shared" si="1"/>
        <v>50100000</v>
      </c>
      <c r="D137" s="95" t="s">
        <v>342</v>
      </c>
      <c r="E137" s="86" t="s">
        <v>13</v>
      </c>
      <c r="F137" s="86">
        <v>150170257</v>
      </c>
      <c r="G137" s="86" t="s">
        <v>742</v>
      </c>
      <c r="H137" s="103" t="s">
        <v>207</v>
      </c>
      <c r="I137" s="83">
        <v>202177205</v>
      </c>
      <c r="J137" s="138" t="s">
        <v>743</v>
      </c>
      <c r="K137" s="139"/>
      <c r="L137" s="88">
        <v>92</v>
      </c>
      <c r="M137" s="89">
        <f>48+44</f>
        <v>92</v>
      </c>
      <c r="N137" s="143"/>
      <c r="Q137" s="86">
        <v>501</v>
      </c>
    </row>
    <row r="138" spans="1:17" ht="56.25">
      <c r="A138" s="79" t="s">
        <v>280</v>
      </c>
      <c r="B138" s="86" t="s">
        <v>871</v>
      </c>
      <c r="C138" s="80">
        <f t="shared" si="1"/>
        <v>31400000</v>
      </c>
      <c r="D138" s="95" t="s">
        <v>744</v>
      </c>
      <c r="E138" s="86" t="s">
        <v>13</v>
      </c>
      <c r="F138" s="86">
        <v>150170258</v>
      </c>
      <c r="G138" s="86" t="s">
        <v>745</v>
      </c>
      <c r="H138" s="103" t="s">
        <v>207</v>
      </c>
      <c r="I138" s="83">
        <v>202177205</v>
      </c>
      <c r="J138" s="138" t="s">
        <v>743</v>
      </c>
      <c r="K138" s="139"/>
      <c r="L138" s="88">
        <v>264</v>
      </c>
      <c r="M138" s="89">
        <v>264</v>
      </c>
      <c r="N138" s="143"/>
      <c r="Q138" s="86">
        <v>314</v>
      </c>
    </row>
    <row r="139" spans="1:17" ht="56.25">
      <c r="A139" s="79" t="s">
        <v>280</v>
      </c>
      <c r="B139" s="86" t="s">
        <v>871</v>
      </c>
      <c r="C139" s="80">
        <f t="shared" si="1"/>
        <v>33600000</v>
      </c>
      <c r="D139" s="95" t="s">
        <v>850</v>
      </c>
      <c r="E139" s="86" t="s">
        <v>283</v>
      </c>
      <c r="F139" s="86">
        <v>150022446</v>
      </c>
      <c r="G139" s="86" t="s">
        <v>746</v>
      </c>
      <c r="H139" s="86" t="s">
        <v>255</v>
      </c>
      <c r="I139" s="83">
        <v>202161640</v>
      </c>
      <c r="J139" s="138" t="s">
        <v>743</v>
      </c>
      <c r="K139" s="139">
        <v>60000</v>
      </c>
      <c r="L139" s="88">
        <v>48900</v>
      </c>
      <c r="M139" s="89">
        <v>48900</v>
      </c>
      <c r="N139" s="143"/>
      <c r="Q139" s="86">
        <v>336</v>
      </c>
    </row>
    <row r="140" spans="1:17" ht="112.5">
      <c r="A140" s="79" t="s">
        <v>280</v>
      </c>
      <c r="B140" s="86" t="s">
        <v>874</v>
      </c>
      <c r="C140" s="80">
        <f t="shared" ref="C140:C174" si="2">Q140*$Q$1</f>
        <v>63100000</v>
      </c>
      <c r="D140" s="95" t="s">
        <v>463</v>
      </c>
      <c r="E140" s="86" t="s">
        <v>841</v>
      </c>
      <c r="F140" s="86">
        <v>150025224</v>
      </c>
      <c r="G140" s="86" t="s">
        <v>747</v>
      </c>
      <c r="H140" s="86" t="s">
        <v>748</v>
      </c>
      <c r="I140" s="96">
        <v>205040882</v>
      </c>
      <c r="J140" s="138" t="s">
        <v>749</v>
      </c>
      <c r="K140" s="139">
        <v>23839</v>
      </c>
      <c r="L140" s="88">
        <v>23695</v>
      </c>
      <c r="M140" s="89">
        <v>63.42</v>
      </c>
      <c r="N140" s="143"/>
      <c r="Q140" s="86">
        <v>631</v>
      </c>
    </row>
    <row r="141" spans="1:17" ht="112.5">
      <c r="A141" s="79" t="s">
        <v>280</v>
      </c>
      <c r="B141" s="86" t="s">
        <v>874</v>
      </c>
      <c r="C141" s="80">
        <f t="shared" si="2"/>
        <v>71600000</v>
      </c>
      <c r="D141" s="95" t="s">
        <v>750</v>
      </c>
      <c r="E141" s="86" t="s">
        <v>841</v>
      </c>
      <c r="F141" s="86">
        <v>150024619</v>
      </c>
      <c r="G141" s="86" t="s">
        <v>751</v>
      </c>
      <c r="H141" s="111" t="s">
        <v>752</v>
      </c>
      <c r="I141" s="86">
        <v>401962239</v>
      </c>
      <c r="J141" s="138" t="s">
        <v>749</v>
      </c>
      <c r="K141" s="139">
        <v>20250</v>
      </c>
      <c r="L141" s="88">
        <v>20100</v>
      </c>
      <c r="M141" s="89">
        <f>6700+10050</f>
        <v>16750</v>
      </c>
      <c r="N141" s="143"/>
      <c r="Q141" s="86">
        <v>716</v>
      </c>
    </row>
    <row r="142" spans="1:17" ht="56.25">
      <c r="A142" s="79" t="s">
        <v>280</v>
      </c>
      <c r="B142" s="86" t="s">
        <v>871</v>
      </c>
      <c r="C142" s="80">
        <f t="shared" si="2"/>
        <v>63500000</v>
      </c>
      <c r="D142" s="95" t="s">
        <v>753</v>
      </c>
      <c r="E142" s="86" t="s">
        <v>13</v>
      </c>
      <c r="F142" s="86">
        <v>150172186</v>
      </c>
      <c r="G142" s="86" t="s">
        <v>754</v>
      </c>
      <c r="H142" s="86" t="s">
        <v>755</v>
      </c>
      <c r="I142" s="83">
        <v>206264754</v>
      </c>
      <c r="J142" s="138" t="s">
        <v>756</v>
      </c>
      <c r="K142" s="139"/>
      <c r="L142" s="108">
        <v>180</v>
      </c>
      <c r="M142" s="89">
        <v>479.45</v>
      </c>
      <c r="N142" s="143"/>
      <c r="Q142" s="86">
        <v>635</v>
      </c>
    </row>
    <row r="143" spans="1:17" ht="56.25">
      <c r="A143" s="79" t="s">
        <v>280</v>
      </c>
      <c r="B143" s="86" t="s">
        <v>871</v>
      </c>
      <c r="C143" s="80">
        <f t="shared" si="2"/>
        <v>63700000</v>
      </c>
      <c r="D143" s="95" t="s">
        <v>137</v>
      </c>
      <c r="E143" s="86" t="s">
        <v>13</v>
      </c>
      <c r="F143" s="86">
        <v>150174367</v>
      </c>
      <c r="G143" s="86" t="s">
        <v>757</v>
      </c>
      <c r="H143" s="86" t="s">
        <v>140</v>
      </c>
      <c r="I143" s="83">
        <v>204543770</v>
      </c>
      <c r="J143" s="138" t="s">
        <v>758</v>
      </c>
      <c r="K143" s="139"/>
      <c r="L143" s="88">
        <v>100</v>
      </c>
      <c r="M143" s="89">
        <v>100</v>
      </c>
      <c r="N143" s="143"/>
      <c r="Q143" s="86">
        <v>637</v>
      </c>
    </row>
    <row r="144" spans="1:17" ht="56.25">
      <c r="A144" s="79" t="s">
        <v>280</v>
      </c>
      <c r="B144" s="86" t="s">
        <v>871</v>
      </c>
      <c r="C144" s="80">
        <f t="shared" si="2"/>
        <v>33600000</v>
      </c>
      <c r="D144" s="95" t="s">
        <v>759</v>
      </c>
      <c r="E144" s="86" t="s">
        <v>283</v>
      </c>
      <c r="F144" s="86">
        <v>150025218</v>
      </c>
      <c r="G144" s="86" t="s">
        <v>760</v>
      </c>
      <c r="H144" s="86" t="s">
        <v>106</v>
      </c>
      <c r="I144" s="83">
        <v>201991229</v>
      </c>
      <c r="J144" s="138" t="s">
        <v>761</v>
      </c>
      <c r="K144" s="139">
        <v>22160</v>
      </c>
      <c r="L144" s="88">
        <v>22160</v>
      </c>
      <c r="M144" s="89">
        <v>22160</v>
      </c>
      <c r="N144" s="143"/>
      <c r="Q144" s="86">
        <v>336</v>
      </c>
    </row>
    <row r="145" spans="1:17" ht="56.25">
      <c r="A145" s="79" t="s">
        <v>280</v>
      </c>
      <c r="B145" s="86" t="s">
        <v>872</v>
      </c>
      <c r="C145" s="80">
        <f t="shared" si="2"/>
        <v>33100000</v>
      </c>
      <c r="D145" s="95" t="s">
        <v>762</v>
      </c>
      <c r="E145" s="86" t="s">
        <v>283</v>
      </c>
      <c r="F145" s="86">
        <v>150025901</v>
      </c>
      <c r="G145" s="86" t="s">
        <v>763</v>
      </c>
      <c r="H145" s="86" t="s">
        <v>764</v>
      </c>
      <c r="I145" s="96">
        <v>204878365</v>
      </c>
      <c r="J145" s="138" t="s">
        <v>765</v>
      </c>
      <c r="K145" s="139">
        <f>2200*2.688*2+3</f>
        <v>11830.2</v>
      </c>
      <c r="L145" s="88">
        <v>11600</v>
      </c>
      <c r="M145" s="89">
        <v>11600</v>
      </c>
      <c r="N145" s="143"/>
      <c r="Q145" s="86">
        <v>331</v>
      </c>
    </row>
    <row r="146" spans="1:17" ht="56.25">
      <c r="A146" s="79" t="s">
        <v>280</v>
      </c>
      <c r="B146" s="90" t="s">
        <v>871</v>
      </c>
      <c r="C146" s="80">
        <f t="shared" si="2"/>
        <v>33700000</v>
      </c>
      <c r="D146" s="95" t="s">
        <v>859</v>
      </c>
      <c r="E146" s="86" t="s">
        <v>841</v>
      </c>
      <c r="F146" s="86">
        <v>150026775</v>
      </c>
      <c r="G146" s="86" t="s">
        <v>766</v>
      </c>
      <c r="H146" s="86" t="s">
        <v>106</v>
      </c>
      <c r="I146" s="83">
        <v>201991229</v>
      </c>
      <c r="J146" s="138" t="s">
        <v>765</v>
      </c>
      <c r="K146" s="139">
        <v>91630</v>
      </c>
      <c r="L146" s="88">
        <v>54291.199999999997</v>
      </c>
      <c r="M146" s="89">
        <v>54291.199999999997</v>
      </c>
      <c r="N146" s="143"/>
      <c r="Q146" s="97">
        <v>337</v>
      </c>
    </row>
    <row r="147" spans="1:17" ht="56.25">
      <c r="A147" s="79" t="s">
        <v>280</v>
      </c>
      <c r="B147" s="90" t="s">
        <v>871</v>
      </c>
      <c r="C147" s="80">
        <f t="shared" si="2"/>
        <v>15800000</v>
      </c>
      <c r="D147" s="95" t="s">
        <v>860</v>
      </c>
      <c r="E147" s="86" t="s">
        <v>13</v>
      </c>
      <c r="F147" s="86">
        <v>150189905</v>
      </c>
      <c r="G147" s="86" t="s">
        <v>767</v>
      </c>
      <c r="H147" s="103" t="s">
        <v>89</v>
      </c>
      <c r="I147" s="83">
        <v>206172078</v>
      </c>
      <c r="J147" s="138" t="s">
        <v>768</v>
      </c>
      <c r="K147" s="139"/>
      <c r="L147" s="88">
        <v>2222.75</v>
      </c>
      <c r="M147" s="89">
        <v>2222.75</v>
      </c>
      <c r="N147" s="143"/>
      <c r="Q147" s="97">
        <v>158</v>
      </c>
    </row>
    <row r="148" spans="1:17" ht="56.25">
      <c r="A148" s="79" t="s">
        <v>280</v>
      </c>
      <c r="B148" s="90" t="s">
        <v>871</v>
      </c>
      <c r="C148" s="80">
        <f t="shared" si="2"/>
        <v>33700000</v>
      </c>
      <c r="D148" s="95" t="s">
        <v>403</v>
      </c>
      <c r="E148" s="86" t="s">
        <v>13</v>
      </c>
      <c r="F148" s="86">
        <v>150189910</v>
      </c>
      <c r="G148" s="86" t="s">
        <v>769</v>
      </c>
      <c r="H148" s="103" t="s">
        <v>89</v>
      </c>
      <c r="I148" s="83">
        <v>206172078</v>
      </c>
      <c r="J148" s="138" t="s">
        <v>768</v>
      </c>
      <c r="K148" s="139"/>
      <c r="L148" s="88">
        <v>114.3</v>
      </c>
      <c r="M148" s="89">
        <v>114.3</v>
      </c>
      <c r="N148" s="143"/>
      <c r="Q148" s="97">
        <v>337</v>
      </c>
    </row>
    <row r="149" spans="1:17" ht="56.25">
      <c r="A149" s="79" t="s">
        <v>280</v>
      </c>
      <c r="B149" s="90" t="s">
        <v>871</v>
      </c>
      <c r="C149" s="80">
        <f t="shared" si="2"/>
        <v>39800000</v>
      </c>
      <c r="D149" s="95" t="s">
        <v>406</v>
      </c>
      <c r="E149" s="86" t="s">
        <v>13</v>
      </c>
      <c r="F149" s="86">
        <v>150189915</v>
      </c>
      <c r="G149" s="86" t="s">
        <v>770</v>
      </c>
      <c r="H149" s="103" t="s">
        <v>89</v>
      </c>
      <c r="I149" s="83">
        <v>206172078</v>
      </c>
      <c r="J149" s="138" t="s">
        <v>768</v>
      </c>
      <c r="K149" s="139"/>
      <c r="L149" s="88">
        <v>217.05</v>
      </c>
      <c r="M149" s="89">
        <v>217.05</v>
      </c>
      <c r="N149" s="143"/>
      <c r="Q149" s="97">
        <v>398</v>
      </c>
    </row>
    <row r="150" spans="1:17" ht="56.25">
      <c r="A150" s="79" t="s">
        <v>280</v>
      </c>
      <c r="B150" s="86" t="s">
        <v>871</v>
      </c>
      <c r="C150" s="80">
        <f t="shared" si="2"/>
        <v>33100000</v>
      </c>
      <c r="D150" s="95" t="s">
        <v>771</v>
      </c>
      <c r="E150" s="86" t="s">
        <v>283</v>
      </c>
      <c r="F150" s="86">
        <v>150025315</v>
      </c>
      <c r="G150" s="86" t="s">
        <v>772</v>
      </c>
      <c r="H150" s="86" t="s">
        <v>703</v>
      </c>
      <c r="I150" s="99" t="s">
        <v>704</v>
      </c>
      <c r="J150" s="138" t="s">
        <v>773</v>
      </c>
      <c r="K150" s="139">
        <v>14725</v>
      </c>
      <c r="L150" s="88">
        <v>6882</v>
      </c>
      <c r="M150" s="89">
        <f>6660+222</f>
        <v>6882</v>
      </c>
      <c r="N150" s="143"/>
      <c r="Q150" s="97">
        <v>331</v>
      </c>
    </row>
    <row r="151" spans="1:17" ht="25.5">
      <c r="A151" s="118" t="s">
        <v>839</v>
      </c>
      <c r="B151" s="86" t="s">
        <v>869</v>
      </c>
      <c r="C151" s="80">
        <f t="shared" si="2"/>
        <v>33600000</v>
      </c>
      <c r="D151" s="95" t="s">
        <v>774</v>
      </c>
      <c r="E151" s="86" t="s">
        <v>13</v>
      </c>
      <c r="F151" s="86">
        <v>150191353</v>
      </c>
      <c r="G151" s="86" t="s">
        <v>775</v>
      </c>
      <c r="H151" s="86" t="s">
        <v>173</v>
      </c>
      <c r="I151" s="98" t="s">
        <v>286</v>
      </c>
      <c r="J151" s="138" t="s">
        <v>776</v>
      </c>
      <c r="K151" s="139"/>
      <c r="L151" s="114">
        <v>153880.38</v>
      </c>
      <c r="M151" s="114">
        <v>153880.37</v>
      </c>
      <c r="N151" s="143" t="s">
        <v>840</v>
      </c>
      <c r="Q151" s="97">
        <v>336</v>
      </c>
    </row>
    <row r="152" spans="1:17" ht="56.25">
      <c r="A152" s="79" t="s">
        <v>280</v>
      </c>
      <c r="B152" s="86" t="s">
        <v>872</v>
      </c>
      <c r="C152" s="80">
        <f t="shared" si="2"/>
        <v>33600000</v>
      </c>
      <c r="D152" s="95" t="s">
        <v>777</v>
      </c>
      <c r="E152" s="86" t="s">
        <v>13</v>
      </c>
      <c r="F152" s="86">
        <v>150229003</v>
      </c>
      <c r="G152" s="86" t="s">
        <v>778</v>
      </c>
      <c r="H152" s="86" t="s">
        <v>173</v>
      </c>
      <c r="I152" s="98" t="s">
        <v>286</v>
      </c>
      <c r="J152" s="138" t="s">
        <v>779</v>
      </c>
      <c r="K152" s="139"/>
      <c r="L152" s="114">
        <v>387151.41</v>
      </c>
      <c r="M152" s="114">
        <f>49343.84*2.5944</f>
        <v>128017.65849599999</v>
      </c>
      <c r="N152" s="143"/>
      <c r="Q152" s="97">
        <v>336</v>
      </c>
    </row>
    <row r="153" spans="1:17" ht="56.25">
      <c r="A153" s="79" t="s">
        <v>280</v>
      </c>
      <c r="B153" s="86" t="s">
        <v>871</v>
      </c>
      <c r="C153" s="80">
        <f t="shared" si="2"/>
        <v>33100000</v>
      </c>
      <c r="D153" s="95" t="s">
        <v>861</v>
      </c>
      <c r="E153" s="86" t="s">
        <v>283</v>
      </c>
      <c r="F153" s="116">
        <v>150026800</v>
      </c>
      <c r="G153" s="86" t="s">
        <v>780</v>
      </c>
      <c r="H153" s="109" t="s">
        <v>781</v>
      </c>
      <c r="I153" s="86">
        <v>405113764</v>
      </c>
      <c r="J153" s="138" t="s">
        <v>782</v>
      </c>
      <c r="K153" s="139">
        <v>29640</v>
      </c>
      <c r="L153" s="88">
        <v>19912</v>
      </c>
      <c r="M153" s="89">
        <v>19912</v>
      </c>
      <c r="N153" s="143"/>
      <c r="Q153" s="86">
        <v>331</v>
      </c>
    </row>
    <row r="154" spans="1:17" ht="56.25">
      <c r="A154" s="79" t="s">
        <v>280</v>
      </c>
      <c r="B154" s="86" t="s">
        <v>871</v>
      </c>
      <c r="C154" s="80">
        <f t="shared" si="2"/>
        <v>33100000</v>
      </c>
      <c r="D154" s="95" t="s">
        <v>862</v>
      </c>
      <c r="E154" s="86" t="s">
        <v>283</v>
      </c>
      <c r="F154" s="116">
        <v>150026803</v>
      </c>
      <c r="G154" s="86" t="s">
        <v>783</v>
      </c>
      <c r="H154" s="109" t="s">
        <v>781</v>
      </c>
      <c r="I154" s="86">
        <v>405113764</v>
      </c>
      <c r="J154" s="138" t="s">
        <v>782</v>
      </c>
      <c r="K154" s="139">
        <v>30400</v>
      </c>
      <c r="L154" s="88">
        <v>20864</v>
      </c>
      <c r="M154" s="89">
        <v>20864</v>
      </c>
      <c r="N154" s="143"/>
      <c r="Q154" s="86">
        <v>331</v>
      </c>
    </row>
    <row r="155" spans="1:17" ht="56.25">
      <c r="A155" s="79" t="s">
        <v>280</v>
      </c>
      <c r="B155" s="86" t="s">
        <v>871</v>
      </c>
      <c r="C155" s="80">
        <f t="shared" si="2"/>
        <v>33100000</v>
      </c>
      <c r="D155" s="95" t="s">
        <v>863</v>
      </c>
      <c r="E155" s="86" t="s">
        <v>283</v>
      </c>
      <c r="F155" s="116">
        <v>150026807</v>
      </c>
      <c r="G155" s="86" t="s">
        <v>784</v>
      </c>
      <c r="H155" s="109" t="s">
        <v>781</v>
      </c>
      <c r="I155" s="86">
        <v>405113764</v>
      </c>
      <c r="J155" s="138" t="s">
        <v>782</v>
      </c>
      <c r="K155" s="139">
        <v>41760</v>
      </c>
      <c r="L155" s="88">
        <v>28272</v>
      </c>
      <c r="M155" s="89">
        <v>28272</v>
      </c>
      <c r="N155" s="143"/>
      <c r="Q155" s="86">
        <v>331</v>
      </c>
    </row>
    <row r="156" spans="1:17" ht="56.25">
      <c r="A156" s="79" t="s">
        <v>280</v>
      </c>
      <c r="B156" s="86" t="s">
        <v>871</v>
      </c>
      <c r="C156" s="80">
        <f t="shared" si="2"/>
        <v>33100000</v>
      </c>
      <c r="D156" s="95" t="s">
        <v>864</v>
      </c>
      <c r="E156" s="86" t="s">
        <v>283</v>
      </c>
      <c r="F156" s="116">
        <v>150026816</v>
      </c>
      <c r="G156" s="86" t="s">
        <v>785</v>
      </c>
      <c r="H156" s="109" t="s">
        <v>781</v>
      </c>
      <c r="I156" s="86">
        <v>405113764</v>
      </c>
      <c r="J156" s="138" t="s">
        <v>782</v>
      </c>
      <c r="K156" s="139">
        <v>84000</v>
      </c>
      <c r="L156" s="88">
        <v>63090</v>
      </c>
      <c r="M156" s="89">
        <v>63090</v>
      </c>
      <c r="N156" s="143"/>
      <c r="Q156" s="86">
        <v>331</v>
      </c>
    </row>
    <row r="157" spans="1:17" ht="56.25">
      <c r="A157" s="79" t="s">
        <v>280</v>
      </c>
      <c r="B157" s="86" t="s">
        <v>871</v>
      </c>
      <c r="C157" s="80">
        <f t="shared" si="2"/>
        <v>33600000</v>
      </c>
      <c r="D157" s="95" t="s">
        <v>352</v>
      </c>
      <c r="E157" s="86" t="s">
        <v>283</v>
      </c>
      <c r="F157" s="86">
        <v>150026955</v>
      </c>
      <c r="G157" s="86" t="s">
        <v>786</v>
      </c>
      <c r="H157" s="103" t="s">
        <v>260</v>
      </c>
      <c r="I157" s="83">
        <v>204992393</v>
      </c>
      <c r="J157" s="138" t="s">
        <v>787</v>
      </c>
      <c r="K157" s="139">
        <v>13300</v>
      </c>
      <c r="L157" s="88">
        <v>13300</v>
      </c>
      <c r="M157" s="89">
        <f>9500+3800</f>
        <v>13300</v>
      </c>
      <c r="N157" s="143"/>
      <c r="Q157" s="86">
        <v>336</v>
      </c>
    </row>
    <row r="158" spans="1:17" ht="25.5">
      <c r="A158" s="118" t="s">
        <v>839</v>
      </c>
      <c r="B158" s="86" t="s">
        <v>870</v>
      </c>
      <c r="C158" s="80">
        <f t="shared" si="2"/>
        <v>33600000</v>
      </c>
      <c r="D158" s="95" t="s">
        <v>319</v>
      </c>
      <c r="E158" s="86" t="s">
        <v>13</v>
      </c>
      <c r="F158" s="86">
        <v>150199922</v>
      </c>
      <c r="G158" s="86" t="s">
        <v>788</v>
      </c>
      <c r="H158" s="86" t="s">
        <v>789</v>
      </c>
      <c r="I158" s="98" t="s">
        <v>790</v>
      </c>
      <c r="J158" s="138" t="s">
        <v>791</v>
      </c>
      <c r="K158" s="139"/>
      <c r="L158" s="114">
        <v>483437.45</v>
      </c>
      <c r="M158" s="114">
        <v>483437.45</v>
      </c>
      <c r="N158" s="143" t="s">
        <v>840</v>
      </c>
      <c r="Q158" s="97">
        <v>336</v>
      </c>
    </row>
    <row r="159" spans="1:17" ht="56.25">
      <c r="A159" s="79" t="s">
        <v>280</v>
      </c>
      <c r="B159" s="86" t="s">
        <v>872</v>
      </c>
      <c r="C159" s="80">
        <f t="shared" si="2"/>
        <v>30100000</v>
      </c>
      <c r="D159" s="95" t="s">
        <v>792</v>
      </c>
      <c r="E159" s="86" t="s">
        <v>13</v>
      </c>
      <c r="F159" s="86">
        <v>150199633</v>
      </c>
      <c r="G159" s="86" t="s">
        <v>793</v>
      </c>
      <c r="H159" s="86" t="s">
        <v>401</v>
      </c>
      <c r="I159" s="83">
        <v>204447312</v>
      </c>
      <c r="J159" s="138" t="s">
        <v>794</v>
      </c>
      <c r="K159" s="139"/>
      <c r="L159" s="88">
        <v>736.53</v>
      </c>
      <c r="M159" s="89">
        <v>736.53</v>
      </c>
      <c r="N159" s="143"/>
      <c r="Q159" s="97">
        <v>301</v>
      </c>
    </row>
    <row r="160" spans="1:17" ht="56.25">
      <c r="A160" s="79" t="s">
        <v>280</v>
      </c>
      <c r="B160" s="86" t="s">
        <v>872</v>
      </c>
      <c r="C160" s="80">
        <f t="shared" si="2"/>
        <v>22800000</v>
      </c>
      <c r="D160" s="95" t="s">
        <v>65</v>
      </c>
      <c r="E160" s="86" t="s">
        <v>13</v>
      </c>
      <c r="F160" s="86">
        <v>150199637</v>
      </c>
      <c r="G160" s="86" t="s">
        <v>795</v>
      </c>
      <c r="H160" s="86" t="s">
        <v>401</v>
      </c>
      <c r="I160" s="83">
        <v>204447312</v>
      </c>
      <c r="J160" s="138" t="s">
        <v>794</v>
      </c>
      <c r="K160" s="139"/>
      <c r="L160" s="88">
        <v>2160.63</v>
      </c>
      <c r="M160" s="89">
        <v>2160.63</v>
      </c>
      <c r="N160" s="143"/>
      <c r="Q160" s="97">
        <v>228</v>
      </c>
    </row>
    <row r="161" spans="1:17" ht="56.25">
      <c r="A161" s="79" t="s">
        <v>280</v>
      </c>
      <c r="B161" s="86" t="s">
        <v>872</v>
      </c>
      <c r="C161" s="80">
        <f t="shared" si="2"/>
        <v>34300000</v>
      </c>
      <c r="D161" s="95" t="s">
        <v>796</v>
      </c>
      <c r="E161" s="86" t="s">
        <v>13</v>
      </c>
      <c r="F161" s="86">
        <v>150199627</v>
      </c>
      <c r="G161" s="86" t="s">
        <v>797</v>
      </c>
      <c r="H161" s="86" t="s">
        <v>798</v>
      </c>
      <c r="I161" s="98" t="s">
        <v>799</v>
      </c>
      <c r="J161" s="138" t="s">
        <v>794</v>
      </c>
      <c r="K161" s="139"/>
      <c r="L161" s="88">
        <v>175</v>
      </c>
      <c r="M161" s="89">
        <v>175</v>
      </c>
      <c r="N161" s="143"/>
      <c r="Q161" s="97">
        <v>343</v>
      </c>
    </row>
    <row r="162" spans="1:17" ht="56.25">
      <c r="A162" s="79" t="s">
        <v>280</v>
      </c>
      <c r="B162" s="86" t="s">
        <v>871</v>
      </c>
      <c r="C162" s="80">
        <f t="shared" si="2"/>
        <v>33600000</v>
      </c>
      <c r="D162" s="95" t="s">
        <v>865</v>
      </c>
      <c r="E162" s="86" t="s">
        <v>283</v>
      </c>
      <c r="F162" s="86">
        <v>150025903</v>
      </c>
      <c r="G162" s="86" t="s">
        <v>800</v>
      </c>
      <c r="H162" s="86" t="s">
        <v>255</v>
      </c>
      <c r="I162" s="83">
        <v>202161640</v>
      </c>
      <c r="J162" s="138" t="s">
        <v>801</v>
      </c>
      <c r="K162" s="139">
        <f>[1]Sheet1!$G$287</f>
        <v>45593.392562167952</v>
      </c>
      <c r="L162" s="88">
        <v>42354</v>
      </c>
      <c r="M162" s="89">
        <v>42354</v>
      </c>
      <c r="N162" s="143"/>
      <c r="Q162" s="86">
        <v>336</v>
      </c>
    </row>
    <row r="163" spans="1:17" ht="56.25">
      <c r="A163" s="79" t="s">
        <v>280</v>
      </c>
      <c r="B163" s="90" t="s">
        <v>871</v>
      </c>
      <c r="C163" s="80">
        <f t="shared" si="2"/>
        <v>33100000</v>
      </c>
      <c r="D163" s="95" t="s">
        <v>802</v>
      </c>
      <c r="E163" s="86" t="s">
        <v>283</v>
      </c>
      <c r="F163" s="86">
        <v>150025312</v>
      </c>
      <c r="G163" s="86" t="s">
        <v>803</v>
      </c>
      <c r="H163" s="86" t="s">
        <v>703</v>
      </c>
      <c r="I163" s="99" t="s">
        <v>704</v>
      </c>
      <c r="J163" s="138" t="s">
        <v>804</v>
      </c>
      <c r="K163" s="139">
        <v>12369</v>
      </c>
      <c r="L163" s="88">
        <v>5433.75</v>
      </c>
      <c r="M163" s="89">
        <v>5433.75</v>
      </c>
      <c r="N163" s="143"/>
      <c r="Q163" s="97">
        <v>331</v>
      </c>
    </row>
    <row r="164" spans="1:17" ht="56.25">
      <c r="A164" s="79" t="s">
        <v>280</v>
      </c>
      <c r="B164" s="90" t="s">
        <v>871</v>
      </c>
      <c r="C164" s="80">
        <f t="shared" si="2"/>
        <v>33100000</v>
      </c>
      <c r="D164" s="95" t="s">
        <v>842</v>
      </c>
      <c r="E164" s="86" t="s">
        <v>283</v>
      </c>
      <c r="F164" s="86">
        <v>150026815</v>
      </c>
      <c r="G164" s="86" t="s">
        <v>805</v>
      </c>
      <c r="H164" s="86" t="s">
        <v>118</v>
      </c>
      <c r="I164" s="83">
        <v>202203123</v>
      </c>
      <c r="J164" s="138" t="s">
        <v>804</v>
      </c>
      <c r="K164" s="139">
        <v>99990</v>
      </c>
      <c r="L164" s="88">
        <v>99990</v>
      </c>
      <c r="M164" s="89">
        <v>99990</v>
      </c>
      <c r="N164" s="143"/>
      <c r="Q164" s="97">
        <v>331</v>
      </c>
    </row>
    <row r="165" spans="1:17" ht="56.25">
      <c r="A165" s="79" t="s">
        <v>280</v>
      </c>
      <c r="B165" s="86" t="s">
        <v>872</v>
      </c>
      <c r="C165" s="80">
        <f t="shared" si="2"/>
        <v>33100000</v>
      </c>
      <c r="D165" s="95" t="s">
        <v>867</v>
      </c>
      <c r="E165" s="86" t="s">
        <v>283</v>
      </c>
      <c r="F165" s="86">
        <v>150027832</v>
      </c>
      <c r="G165" s="86" t="s">
        <v>806</v>
      </c>
      <c r="H165" s="86" t="s">
        <v>185</v>
      </c>
      <c r="I165" s="83">
        <v>204918544</v>
      </c>
      <c r="J165" s="138" t="s">
        <v>807</v>
      </c>
      <c r="K165" s="139">
        <v>1080</v>
      </c>
      <c r="L165" s="88">
        <v>1080</v>
      </c>
      <c r="M165" s="89">
        <v>1080</v>
      </c>
      <c r="N165" s="143"/>
      <c r="Q165" s="86">
        <v>331</v>
      </c>
    </row>
    <row r="166" spans="1:17" ht="56.25">
      <c r="A166" s="79" t="s">
        <v>280</v>
      </c>
      <c r="B166" s="86" t="s">
        <v>871</v>
      </c>
      <c r="C166" s="80">
        <f t="shared" si="2"/>
        <v>33600000</v>
      </c>
      <c r="D166" s="95" t="s">
        <v>808</v>
      </c>
      <c r="E166" s="86" t="s">
        <v>283</v>
      </c>
      <c r="F166" s="86">
        <v>150028921</v>
      </c>
      <c r="G166" s="86" t="s">
        <v>809</v>
      </c>
      <c r="H166" s="86" t="s">
        <v>106</v>
      </c>
      <c r="I166" s="83">
        <v>201991229</v>
      </c>
      <c r="J166" s="138" t="s">
        <v>810</v>
      </c>
      <c r="K166" s="139">
        <v>5836</v>
      </c>
      <c r="L166" s="88">
        <v>5836</v>
      </c>
      <c r="M166" s="89">
        <v>5836</v>
      </c>
      <c r="N166" s="143"/>
      <c r="Q166" s="86">
        <v>336</v>
      </c>
    </row>
    <row r="167" spans="1:17" ht="56.25">
      <c r="A167" s="79" t="s">
        <v>280</v>
      </c>
      <c r="B167" s="86" t="s">
        <v>871</v>
      </c>
      <c r="C167" s="80">
        <f t="shared" si="2"/>
        <v>55300000</v>
      </c>
      <c r="D167" s="95" t="s">
        <v>811</v>
      </c>
      <c r="E167" s="86" t="s">
        <v>13</v>
      </c>
      <c r="F167" s="86">
        <v>150207133</v>
      </c>
      <c r="G167" s="86" t="s">
        <v>812</v>
      </c>
      <c r="H167" s="86" t="s">
        <v>813</v>
      </c>
      <c r="I167" s="83">
        <v>404385722</v>
      </c>
      <c r="J167" s="138" t="s">
        <v>814</v>
      </c>
      <c r="K167" s="139"/>
      <c r="L167" s="88">
        <v>7658.2</v>
      </c>
      <c r="M167" s="89">
        <v>7658.2</v>
      </c>
      <c r="N167" s="143"/>
      <c r="Q167" s="97">
        <v>553</v>
      </c>
    </row>
    <row r="168" spans="1:17" ht="56.25">
      <c r="A168" s="79" t="s">
        <v>280</v>
      </c>
      <c r="B168" s="86" t="s">
        <v>871</v>
      </c>
      <c r="C168" s="80">
        <f t="shared" si="2"/>
        <v>30100000</v>
      </c>
      <c r="D168" s="95" t="s">
        <v>815</v>
      </c>
      <c r="E168" s="86" t="s">
        <v>13</v>
      </c>
      <c r="F168" s="86">
        <v>150205770</v>
      </c>
      <c r="G168" s="86" t="s">
        <v>816</v>
      </c>
      <c r="H168" s="86" t="s">
        <v>817</v>
      </c>
      <c r="I168" s="83">
        <v>205166210</v>
      </c>
      <c r="J168" s="138" t="s">
        <v>818</v>
      </c>
      <c r="K168" s="139"/>
      <c r="L168" s="88">
        <v>130</v>
      </c>
      <c r="M168" s="89">
        <v>130</v>
      </c>
      <c r="N168" s="143"/>
      <c r="Q168" s="97">
        <v>301</v>
      </c>
    </row>
    <row r="169" spans="1:17" ht="56.25">
      <c r="A169" s="79" t="s">
        <v>280</v>
      </c>
      <c r="B169" s="86" t="s">
        <v>871</v>
      </c>
      <c r="C169" s="80">
        <f t="shared" si="2"/>
        <v>79500000</v>
      </c>
      <c r="D169" s="95" t="s">
        <v>623</v>
      </c>
      <c r="E169" s="86" t="s">
        <v>13</v>
      </c>
      <c r="F169" s="86">
        <v>150207089</v>
      </c>
      <c r="G169" s="86" t="s">
        <v>819</v>
      </c>
      <c r="H169" s="86" t="s">
        <v>820</v>
      </c>
      <c r="I169" s="99" t="s">
        <v>821</v>
      </c>
      <c r="J169" s="138" t="s">
        <v>818</v>
      </c>
      <c r="K169" s="139"/>
      <c r="L169" s="88">
        <v>480</v>
      </c>
      <c r="M169" s="89">
        <v>440</v>
      </c>
      <c r="N169" s="143"/>
      <c r="Q169" s="86">
        <v>795</v>
      </c>
    </row>
    <row r="170" spans="1:17" ht="56.25">
      <c r="A170" s="79" t="s">
        <v>280</v>
      </c>
      <c r="B170" s="86" t="s">
        <v>871</v>
      </c>
      <c r="C170" s="80">
        <f t="shared" si="2"/>
        <v>18500000</v>
      </c>
      <c r="D170" s="95" t="s">
        <v>822</v>
      </c>
      <c r="E170" s="86" t="s">
        <v>13</v>
      </c>
      <c r="F170" s="86">
        <v>150205777</v>
      </c>
      <c r="G170" s="86" t="s">
        <v>823</v>
      </c>
      <c r="H170" s="86" t="s">
        <v>824</v>
      </c>
      <c r="I170" s="83">
        <v>404868407</v>
      </c>
      <c r="J170" s="138" t="s">
        <v>825</v>
      </c>
      <c r="K170" s="139"/>
      <c r="L170" s="88">
        <v>600</v>
      </c>
      <c r="M170" s="89">
        <v>600</v>
      </c>
      <c r="N170" s="143"/>
      <c r="Q170" s="97">
        <v>185</v>
      </c>
    </row>
    <row r="171" spans="1:17" ht="56.25">
      <c r="A171" s="79" t="s">
        <v>280</v>
      </c>
      <c r="B171" s="86" t="s">
        <v>871</v>
      </c>
      <c r="C171" s="80">
        <f t="shared" si="2"/>
        <v>33100000</v>
      </c>
      <c r="D171" s="95" t="s">
        <v>826</v>
      </c>
      <c r="E171" s="86" t="s">
        <v>283</v>
      </c>
      <c r="F171" s="86">
        <v>150026950</v>
      </c>
      <c r="G171" s="86" t="s">
        <v>827</v>
      </c>
      <c r="H171" s="109" t="s">
        <v>828</v>
      </c>
      <c r="I171" s="86">
        <v>406159017</v>
      </c>
      <c r="J171" s="138" t="s">
        <v>829</v>
      </c>
      <c r="K171" s="139">
        <v>95000</v>
      </c>
      <c r="L171" s="88">
        <v>34485</v>
      </c>
      <c r="M171" s="89">
        <v>34485</v>
      </c>
      <c r="N171" s="143"/>
      <c r="Q171" s="86">
        <v>331</v>
      </c>
    </row>
    <row r="172" spans="1:17" ht="56.25">
      <c r="A172" s="79" t="s">
        <v>280</v>
      </c>
      <c r="B172" s="86" t="s">
        <v>872</v>
      </c>
      <c r="C172" s="80">
        <f t="shared" si="2"/>
        <v>33100000</v>
      </c>
      <c r="D172" s="95" t="s">
        <v>830</v>
      </c>
      <c r="E172" s="86" t="s">
        <v>283</v>
      </c>
      <c r="F172" s="86">
        <v>150025902</v>
      </c>
      <c r="G172" s="86" t="s">
        <v>831</v>
      </c>
      <c r="H172" s="86" t="s">
        <v>832</v>
      </c>
      <c r="I172" s="83">
        <v>416319530</v>
      </c>
      <c r="J172" s="138" t="s">
        <v>833</v>
      </c>
      <c r="K172" s="139">
        <v>51600</v>
      </c>
      <c r="L172" s="112">
        <v>51600</v>
      </c>
      <c r="M172" s="89">
        <v>51600</v>
      </c>
      <c r="N172" s="143"/>
      <c r="Q172" s="86">
        <v>331</v>
      </c>
    </row>
    <row r="173" spans="1:17" ht="56.25">
      <c r="A173" s="79" t="s">
        <v>280</v>
      </c>
      <c r="B173" s="86" t="s">
        <v>871</v>
      </c>
      <c r="C173" s="80">
        <f t="shared" si="2"/>
        <v>34100000</v>
      </c>
      <c r="D173" s="95" t="s">
        <v>629</v>
      </c>
      <c r="E173" s="86" t="s">
        <v>283</v>
      </c>
      <c r="F173" s="86">
        <v>150030237</v>
      </c>
      <c r="G173" s="86" t="s">
        <v>834</v>
      </c>
      <c r="H173" s="86" t="s">
        <v>835</v>
      </c>
      <c r="I173" s="83">
        <v>401960286</v>
      </c>
      <c r="J173" s="138" t="s">
        <v>836</v>
      </c>
      <c r="K173" s="139">
        <f>27300*4*2.5766</f>
        <v>281364.71999999997</v>
      </c>
      <c r="L173" s="88">
        <f xml:space="preserve">  280137+(280137*18%)</f>
        <v>330561.65999999997</v>
      </c>
      <c r="M173" s="117">
        <v>280137</v>
      </c>
      <c r="N173" s="143" t="s">
        <v>489</v>
      </c>
      <c r="Q173" s="86">
        <v>341</v>
      </c>
    </row>
    <row r="174" spans="1:17" ht="56.25">
      <c r="A174" s="79" t="s">
        <v>280</v>
      </c>
      <c r="B174" s="86" t="s">
        <v>872</v>
      </c>
      <c r="C174" s="80">
        <f t="shared" si="2"/>
        <v>79800000</v>
      </c>
      <c r="D174" s="95" t="s">
        <v>314</v>
      </c>
      <c r="E174" s="86" t="s">
        <v>13</v>
      </c>
      <c r="F174" s="86">
        <v>150226974</v>
      </c>
      <c r="G174" s="86" t="s">
        <v>837</v>
      </c>
      <c r="H174" s="86" t="s">
        <v>817</v>
      </c>
      <c r="I174" s="83">
        <v>205166210</v>
      </c>
      <c r="J174" s="138" t="s">
        <v>838</v>
      </c>
      <c r="K174" s="139"/>
      <c r="L174" s="88">
        <v>40</v>
      </c>
      <c r="M174" s="89">
        <v>40</v>
      </c>
      <c r="N174" s="143"/>
      <c r="Q174" s="86">
        <v>798</v>
      </c>
    </row>
  </sheetData>
  <mergeCells count="166">
    <mergeCell ref="A1:N8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J88:K88"/>
    <mergeCell ref="J89:K89"/>
    <mergeCell ref="J90:K90"/>
    <mergeCell ref="J91:K91"/>
    <mergeCell ref="J92:K92"/>
    <mergeCell ref="J93:K93"/>
    <mergeCell ref="J82:K82"/>
    <mergeCell ref="J83:K83"/>
    <mergeCell ref="J84:K84"/>
    <mergeCell ref="J85:K85"/>
    <mergeCell ref="J86:K86"/>
    <mergeCell ref="J87:K87"/>
    <mergeCell ref="J100:K100"/>
    <mergeCell ref="J101:K101"/>
    <mergeCell ref="J102:K102"/>
    <mergeCell ref="J103:K103"/>
    <mergeCell ref="J104:K104"/>
    <mergeCell ref="J105:K105"/>
    <mergeCell ref="J94:K94"/>
    <mergeCell ref="J95:K95"/>
    <mergeCell ref="J96:K96"/>
    <mergeCell ref="J97:K97"/>
    <mergeCell ref="J98:K98"/>
    <mergeCell ref="J99:K99"/>
    <mergeCell ref="J112:K112"/>
    <mergeCell ref="J113:K113"/>
    <mergeCell ref="J114:K114"/>
    <mergeCell ref="J115:K115"/>
    <mergeCell ref="J116:K116"/>
    <mergeCell ref="J117:K117"/>
    <mergeCell ref="J106:K106"/>
    <mergeCell ref="J107:K107"/>
    <mergeCell ref="J108:K108"/>
    <mergeCell ref="J109:K109"/>
    <mergeCell ref="J110:K110"/>
    <mergeCell ref="J111:K111"/>
    <mergeCell ref="J124:K124"/>
    <mergeCell ref="J125:K125"/>
    <mergeCell ref="J126:K126"/>
    <mergeCell ref="J127:K127"/>
    <mergeCell ref="J128:K128"/>
    <mergeCell ref="J129:K129"/>
    <mergeCell ref="J118:K118"/>
    <mergeCell ref="J119:K119"/>
    <mergeCell ref="J120:K120"/>
    <mergeCell ref="J121:K121"/>
    <mergeCell ref="J122:K122"/>
    <mergeCell ref="J123:K123"/>
    <mergeCell ref="J136:K136"/>
    <mergeCell ref="J137:K137"/>
    <mergeCell ref="J138:K138"/>
    <mergeCell ref="J139:K139"/>
    <mergeCell ref="J140:K140"/>
    <mergeCell ref="J141:K141"/>
    <mergeCell ref="J130:K130"/>
    <mergeCell ref="J131:K131"/>
    <mergeCell ref="J132:K132"/>
    <mergeCell ref="J133:K133"/>
    <mergeCell ref="J134:K134"/>
    <mergeCell ref="J135:K135"/>
    <mergeCell ref="J148:K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J146:K146"/>
    <mergeCell ref="J147:K147"/>
    <mergeCell ref="J160:K160"/>
    <mergeCell ref="J161:K161"/>
    <mergeCell ref="J162:K162"/>
    <mergeCell ref="J163:K163"/>
    <mergeCell ref="J164:K164"/>
    <mergeCell ref="J165:K165"/>
    <mergeCell ref="J154:K154"/>
    <mergeCell ref="J155:K155"/>
    <mergeCell ref="J156:K156"/>
    <mergeCell ref="J157:K157"/>
    <mergeCell ref="J158:K158"/>
    <mergeCell ref="J159:K159"/>
    <mergeCell ref="J172:K172"/>
    <mergeCell ref="J173:K173"/>
    <mergeCell ref="J174:K174"/>
    <mergeCell ref="J166:K166"/>
    <mergeCell ref="J167:K167"/>
    <mergeCell ref="J168:K168"/>
    <mergeCell ref="J169:K169"/>
    <mergeCell ref="J170:K170"/>
    <mergeCell ref="J171:K171"/>
  </mergeCells>
  <printOptions horizontalCentered="1"/>
  <pageMargins left="0.15748031496062992" right="0.15748031496062992" top="0.23622047244094491" bottom="0.15748031496062992" header="0.23622047244094491" footer="0.31496062992125984"/>
  <pageSetup paperSize="9" scale="70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2014</vt:lpstr>
      <vt:lpstr>2015 Ikv.</vt:lpstr>
      <vt:lpstr>2015 All</vt:lpstr>
      <vt:lpstr>'2015 All'!Print_Area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2016-01-27T11:44:48Z</dcterms:modified>
</cp:coreProperties>
</file>